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O24" i="1" l="1"/>
  <c r="GP24" i="1" s="1"/>
  <c r="GK24" i="1"/>
  <c r="GG24" i="1"/>
  <c r="GH24" i="1" s="1"/>
  <c r="GF24" i="1"/>
  <c r="FW24" i="1"/>
  <c r="FV24" i="1"/>
  <c r="FP24" i="1"/>
  <c r="FC24" i="1"/>
  <c r="EY24" i="1"/>
  <c r="EP24" i="1"/>
  <c r="EO24" i="1"/>
  <c r="EQ24" i="1" s="1"/>
  <c r="EL24" i="1"/>
  <c r="EF24" i="1"/>
  <c r="DY24" i="1"/>
  <c r="DU24" i="1"/>
  <c r="DT24" i="1"/>
  <c r="DV24" i="1" s="1"/>
  <c r="DM24" i="1"/>
  <c r="DL24" i="1"/>
  <c r="DG24" i="1"/>
  <c r="DF24" i="1"/>
  <c r="DB24" i="1"/>
  <c r="DC24" i="1" s="1"/>
  <c r="DA24" i="1"/>
  <c r="CN24" i="1"/>
  <c r="CH24" i="1"/>
  <c r="CD24" i="1"/>
  <c r="CC24" i="1"/>
  <c r="BV24" i="1"/>
  <c r="BU24" i="1"/>
  <c r="BW24" i="1" s="1"/>
  <c r="BQ24" i="1"/>
  <c r="BP24" i="1"/>
  <c r="BR24" i="1" s="1"/>
  <c r="BL24" i="1"/>
  <c r="BK24" i="1"/>
  <c r="BM24" i="1" s="1"/>
  <c r="BE24" i="1"/>
  <c r="BD24" i="1"/>
  <c r="BF24" i="1" s="1"/>
  <c r="BG24" i="1" s="1"/>
  <c r="BH24" i="1" s="1"/>
  <c r="AZ24" i="1"/>
  <c r="AV24" i="1"/>
  <c r="CU24" i="1" s="1"/>
  <c r="AU24" i="1"/>
  <c r="AM24" i="1"/>
  <c r="AH24" i="1"/>
  <c r="AD24" i="1"/>
  <c r="Y24" i="1"/>
  <c r="Z24" i="1" s="1"/>
  <c r="X24" i="1"/>
  <c r="T24" i="1"/>
  <c r="U24" i="1" s="1"/>
  <c r="S24" i="1"/>
  <c r="N24" i="1"/>
  <c r="I24" i="1"/>
  <c r="J24" i="1" s="1"/>
  <c r="H24" i="1"/>
  <c r="D24" i="1"/>
  <c r="E24" i="1" s="1"/>
  <c r="C24" i="1"/>
  <c r="GS23" i="1"/>
  <c r="GP23" i="1"/>
  <c r="GL23" i="1"/>
  <c r="GH23" i="1"/>
  <c r="GB23" i="1"/>
  <c r="GC23" i="1" s="1"/>
  <c r="GA23" i="1"/>
  <c r="FX23" i="1"/>
  <c r="FS23" i="1"/>
  <c r="FQ23" i="1"/>
  <c r="FN23" i="1"/>
  <c r="FK23" i="1"/>
  <c r="FH23" i="1"/>
  <c r="FD23" i="1"/>
  <c r="EZ23" i="1"/>
  <c r="EV23" i="1"/>
  <c r="EQ23" i="1"/>
  <c r="EM23" i="1"/>
  <c r="EJ23" i="1"/>
  <c r="EG23" i="1"/>
  <c r="EC23" i="1"/>
  <c r="DZ23" i="1"/>
  <c r="DQ23" i="1"/>
  <c r="DH23" i="1"/>
  <c r="DI23" i="1" s="1"/>
  <c r="DC23" i="1"/>
  <c r="CY23" i="1"/>
  <c r="CV23" i="1"/>
  <c r="CQ23" i="1"/>
  <c r="CO23" i="1"/>
  <c r="CL23" i="1"/>
  <c r="CI23" i="1"/>
  <c r="CF23" i="1"/>
  <c r="CR23" i="1" s="1"/>
  <c r="BZ23" i="1"/>
  <c r="BW23" i="1"/>
  <c r="BR23" i="1"/>
  <c r="BM23" i="1"/>
  <c r="BF23" i="1"/>
  <c r="BG23" i="1" s="1"/>
  <c r="BH23" i="1" s="1"/>
  <c r="BA23" i="1"/>
  <c r="AW23" i="1"/>
  <c r="AR23" i="1"/>
  <c r="AN23" i="1"/>
  <c r="AO23" i="1" s="1"/>
  <c r="AJ23" i="1"/>
  <c r="AI23" i="1"/>
  <c r="AC23" i="1"/>
  <c r="AE23" i="1" s="1"/>
  <c r="Z23" i="1"/>
  <c r="U23" i="1"/>
  <c r="P23" i="1"/>
  <c r="O23" i="1"/>
  <c r="J23" i="1"/>
  <c r="K23" i="1" s="1"/>
  <c r="E23" i="1"/>
  <c r="GS22" i="1"/>
  <c r="GP22" i="1"/>
  <c r="GL22" i="1"/>
  <c r="GH22" i="1"/>
  <c r="GB22" i="1"/>
  <c r="GA22" i="1"/>
  <c r="GC22" i="1" s="1"/>
  <c r="FX22" i="1"/>
  <c r="FS22" i="1"/>
  <c r="FQ22" i="1"/>
  <c r="FN22" i="1"/>
  <c r="FK22" i="1"/>
  <c r="FH22" i="1"/>
  <c r="FD22" i="1"/>
  <c r="EZ22" i="1"/>
  <c r="EV22" i="1"/>
  <c r="EQ22" i="1"/>
  <c r="EM22" i="1"/>
  <c r="EJ22" i="1"/>
  <c r="EG22" i="1"/>
  <c r="EC22" i="1"/>
  <c r="DZ22" i="1"/>
  <c r="DV22" i="1"/>
  <c r="DQ22" i="1"/>
  <c r="DH22" i="1"/>
  <c r="DI22" i="1" s="1"/>
  <c r="DC22" i="1"/>
  <c r="CY22" i="1"/>
  <c r="CV22" i="1"/>
  <c r="CQ22" i="1"/>
  <c r="CO22" i="1"/>
  <c r="CL22" i="1"/>
  <c r="CI22" i="1"/>
  <c r="CR22" i="1" s="1"/>
  <c r="CF22" i="1"/>
  <c r="BZ22" i="1"/>
  <c r="BW22" i="1"/>
  <c r="BR22" i="1"/>
  <c r="BM22" i="1"/>
  <c r="BF22" i="1"/>
  <c r="BG22" i="1" s="1"/>
  <c r="BH22" i="1" s="1"/>
  <c r="BA22" i="1"/>
  <c r="AW22" i="1"/>
  <c r="AR22" i="1"/>
  <c r="AN22" i="1"/>
  <c r="AO22" i="1" s="1"/>
  <c r="AJ22" i="1"/>
  <c r="AI22" i="1"/>
  <c r="AC22" i="1"/>
  <c r="AE22" i="1" s="1"/>
  <c r="Z22" i="1"/>
  <c r="U22" i="1"/>
  <c r="P22" i="1"/>
  <c r="O22" i="1"/>
  <c r="J22" i="1"/>
  <c r="K22" i="1" s="1"/>
  <c r="E22" i="1"/>
  <c r="GS21" i="1"/>
  <c r="GP21" i="1"/>
  <c r="GL21" i="1"/>
  <c r="GH21" i="1"/>
  <c r="GB21" i="1"/>
  <c r="GA21" i="1"/>
  <c r="GC21" i="1" s="1"/>
  <c r="FX21" i="1"/>
  <c r="FS21" i="1"/>
  <c r="FQ21" i="1"/>
  <c r="FN21" i="1"/>
  <c r="FK21" i="1"/>
  <c r="FH21" i="1"/>
  <c r="FD21" i="1"/>
  <c r="EZ21" i="1"/>
  <c r="EV21" i="1"/>
  <c r="EQ21" i="1"/>
  <c r="EM21" i="1"/>
  <c r="EJ21" i="1"/>
  <c r="EG21" i="1"/>
  <c r="EC21" i="1"/>
  <c r="DZ21" i="1"/>
  <c r="DV21" i="1"/>
  <c r="DQ21" i="1"/>
  <c r="DN21" i="1"/>
  <c r="DI21" i="1"/>
  <c r="DH21" i="1"/>
  <c r="DC21" i="1"/>
  <c r="CY21" i="1"/>
  <c r="CV21" i="1"/>
  <c r="CQ21" i="1"/>
  <c r="CO21" i="1"/>
  <c r="CL21" i="1"/>
  <c r="CI21" i="1"/>
  <c r="CF21" i="1"/>
  <c r="CR21" i="1" s="1"/>
  <c r="BZ21" i="1"/>
  <c r="BW21" i="1"/>
  <c r="BR21" i="1"/>
  <c r="BM21" i="1"/>
  <c r="BG21" i="1"/>
  <c r="BH21" i="1" s="1"/>
  <c r="BF21" i="1"/>
  <c r="BA21" i="1"/>
  <c r="AW21" i="1"/>
  <c r="AR21" i="1"/>
  <c r="AN21" i="1"/>
  <c r="AO21" i="1" s="1"/>
  <c r="AJ21" i="1"/>
  <c r="AI21" i="1"/>
  <c r="AC21" i="1"/>
  <c r="AE21" i="1" s="1"/>
  <c r="Z21" i="1"/>
  <c r="U21" i="1"/>
  <c r="P21" i="1"/>
  <c r="O21" i="1"/>
  <c r="J21" i="1"/>
  <c r="K21" i="1" s="1"/>
  <c r="E21" i="1"/>
  <c r="GS20" i="1"/>
  <c r="GP20" i="1"/>
  <c r="GL20" i="1"/>
  <c r="GH20" i="1"/>
  <c r="GB20" i="1"/>
  <c r="GA20" i="1"/>
  <c r="GC20" i="1" s="1"/>
  <c r="FX20" i="1"/>
  <c r="FS20" i="1"/>
  <c r="FQ20" i="1"/>
  <c r="FN20" i="1"/>
  <c r="FK20" i="1"/>
  <c r="FH20" i="1"/>
  <c r="FD20" i="1"/>
  <c r="EZ20" i="1"/>
  <c r="EV20" i="1"/>
  <c r="EQ20" i="1"/>
  <c r="EM20" i="1"/>
  <c r="EJ20" i="1"/>
  <c r="EG20" i="1"/>
  <c r="EC20" i="1"/>
  <c r="DZ20" i="1"/>
  <c r="DV20" i="1"/>
  <c r="DQ20" i="1"/>
  <c r="DN20" i="1"/>
  <c r="DI20" i="1"/>
  <c r="DH20" i="1"/>
  <c r="DC20" i="1"/>
  <c r="CY20" i="1"/>
  <c r="CV20" i="1"/>
  <c r="CQ20" i="1"/>
  <c r="CO20" i="1"/>
  <c r="CL20" i="1"/>
  <c r="CI20" i="1"/>
  <c r="CF20" i="1"/>
  <c r="CR20" i="1" s="1"/>
  <c r="BZ20" i="1"/>
  <c r="BW20" i="1"/>
  <c r="BR20" i="1"/>
  <c r="BM20" i="1"/>
  <c r="BG20" i="1"/>
  <c r="BH20" i="1" s="1"/>
  <c r="BF20" i="1"/>
  <c r="BA20" i="1"/>
  <c r="AW20" i="1"/>
  <c r="AR20" i="1"/>
  <c r="AO20" i="1"/>
  <c r="AN20" i="1"/>
  <c r="AI20" i="1"/>
  <c r="AJ20" i="1" s="1"/>
  <c r="AE20" i="1"/>
  <c r="AC20" i="1"/>
  <c r="Z20" i="1"/>
  <c r="U20" i="1"/>
  <c r="O20" i="1"/>
  <c r="P20" i="1" s="1"/>
  <c r="K20" i="1"/>
  <c r="J20" i="1"/>
  <c r="E20" i="1"/>
  <c r="GS19" i="1"/>
  <c r="GP19" i="1"/>
  <c r="GL19" i="1"/>
  <c r="GH19" i="1"/>
  <c r="GB19" i="1"/>
  <c r="GC19" i="1" s="1"/>
  <c r="GA19" i="1"/>
  <c r="FX19" i="1"/>
  <c r="FS19" i="1"/>
  <c r="FQ19" i="1"/>
  <c r="FN19" i="1"/>
  <c r="FK19" i="1"/>
  <c r="FH19" i="1"/>
  <c r="FD19" i="1"/>
  <c r="EZ19" i="1"/>
  <c r="EV19" i="1"/>
  <c r="EQ19" i="1"/>
  <c r="EM19" i="1"/>
  <c r="EJ19" i="1"/>
  <c r="EG19" i="1"/>
  <c r="EC19" i="1"/>
  <c r="DZ19" i="1"/>
  <c r="DV19" i="1"/>
  <c r="DQ19" i="1"/>
  <c r="DI19" i="1"/>
  <c r="DH19" i="1"/>
  <c r="DC19" i="1"/>
  <c r="CY19" i="1"/>
  <c r="CV19" i="1"/>
  <c r="CQ19" i="1"/>
  <c r="CO19" i="1"/>
  <c r="CL19" i="1"/>
  <c r="CI19" i="1"/>
  <c r="CF19" i="1"/>
  <c r="CR19" i="1" s="1"/>
  <c r="BZ19" i="1"/>
  <c r="BW19" i="1"/>
  <c r="BR19" i="1"/>
  <c r="BM19" i="1"/>
  <c r="BG19" i="1"/>
  <c r="BH19" i="1" s="1"/>
  <c r="BF19" i="1"/>
  <c r="BA19" i="1"/>
  <c r="AW19" i="1"/>
  <c r="AR19" i="1"/>
  <c r="AO19" i="1"/>
  <c r="AN19" i="1"/>
  <c r="AI19" i="1"/>
  <c r="AJ19" i="1" s="1"/>
  <c r="AE19" i="1"/>
  <c r="AC19" i="1"/>
  <c r="Z19" i="1"/>
  <c r="U19" i="1"/>
  <c r="O19" i="1"/>
  <c r="P19" i="1" s="1"/>
  <c r="K19" i="1"/>
  <c r="J19" i="1"/>
  <c r="E19" i="1"/>
  <c r="GS18" i="1"/>
  <c r="GP18" i="1"/>
  <c r="GL18" i="1"/>
  <c r="GH18" i="1"/>
  <c r="GB18" i="1"/>
  <c r="GC18" i="1" s="1"/>
  <c r="GA18" i="1"/>
  <c r="FX18" i="1"/>
  <c r="FS18" i="1"/>
  <c r="FQ18" i="1"/>
  <c r="FN18" i="1"/>
  <c r="FK18" i="1"/>
  <c r="FH18" i="1"/>
  <c r="FD18" i="1"/>
  <c r="EZ18" i="1"/>
  <c r="EV18" i="1"/>
  <c r="EQ18" i="1"/>
  <c r="EM18" i="1"/>
  <c r="EJ18" i="1"/>
  <c r="EG18" i="1"/>
  <c r="EC18" i="1"/>
  <c r="DZ18" i="1"/>
  <c r="DV18" i="1"/>
  <c r="DQ18" i="1"/>
  <c r="DI18" i="1"/>
  <c r="DH18" i="1"/>
  <c r="DC18" i="1"/>
  <c r="CY18" i="1"/>
  <c r="CV18" i="1"/>
  <c r="CQ18" i="1"/>
  <c r="CO18" i="1"/>
  <c r="CL18" i="1"/>
  <c r="CI18" i="1"/>
  <c r="CF18" i="1"/>
  <c r="CR18" i="1" s="1"/>
  <c r="BZ18" i="1"/>
  <c r="BW18" i="1"/>
  <c r="BR18" i="1"/>
  <c r="BM18" i="1"/>
  <c r="BG18" i="1"/>
  <c r="BH18" i="1" s="1"/>
  <c r="BF18" i="1"/>
  <c r="BA18" i="1"/>
  <c r="AW18" i="1"/>
  <c r="AR18" i="1"/>
  <c r="AO18" i="1"/>
  <c r="AN18" i="1"/>
  <c r="AI18" i="1"/>
  <c r="AJ18" i="1" s="1"/>
  <c r="AE18" i="1"/>
  <c r="AC18" i="1"/>
  <c r="Z18" i="1"/>
  <c r="U18" i="1"/>
  <c r="O18" i="1"/>
  <c r="P18" i="1" s="1"/>
  <c r="K18" i="1"/>
  <c r="J18" i="1"/>
  <c r="E18" i="1"/>
  <c r="GS17" i="1"/>
  <c r="GP17" i="1"/>
  <c r="GL17" i="1"/>
  <c r="GH17" i="1"/>
  <c r="GB17" i="1"/>
  <c r="GC17" i="1" s="1"/>
  <c r="GA17" i="1"/>
  <c r="FX17" i="1"/>
  <c r="FS17" i="1"/>
  <c r="FQ17" i="1"/>
  <c r="FN17" i="1"/>
  <c r="FK17" i="1"/>
  <c r="FH17" i="1"/>
  <c r="FD17" i="1"/>
  <c r="EZ17" i="1"/>
  <c r="EV17" i="1"/>
  <c r="EQ17" i="1"/>
  <c r="EM17" i="1"/>
  <c r="EJ17" i="1"/>
  <c r="EG17" i="1"/>
  <c r="EC17" i="1"/>
  <c r="DZ17" i="1"/>
  <c r="DV17" i="1"/>
  <c r="DQ17" i="1"/>
  <c r="DN17" i="1"/>
  <c r="DH17" i="1"/>
  <c r="DI17" i="1" s="1"/>
  <c r="DC17" i="1"/>
  <c r="CY17" i="1"/>
  <c r="CV17" i="1"/>
  <c r="CQ17" i="1"/>
  <c r="CO17" i="1"/>
  <c r="CL17" i="1"/>
  <c r="CI17" i="1"/>
  <c r="CR17" i="1" s="1"/>
  <c r="CF17" i="1"/>
  <c r="BZ17" i="1"/>
  <c r="BW17" i="1"/>
  <c r="BR17" i="1"/>
  <c r="BG17" i="1"/>
  <c r="BH17" i="1" s="1"/>
  <c r="BF17" i="1"/>
  <c r="BA17" i="1"/>
  <c r="AW17" i="1"/>
  <c r="AR17" i="1"/>
  <c r="AO17" i="1"/>
  <c r="AN17" i="1"/>
  <c r="AI17" i="1"/>
  <c r="AJ17" i="1" s="1"/>
  <c r="AE17" i="1"/>
  <c r="AC17" i="1"/>
  <c r="Z17" i="1"/>
  <c r="U17" i="1"/>
  <c r="O17" i="1"/>
  <c r="P17" i="1" s="1"/>
  <c r="K17" i="1"/>
  <c r="J17" i="1"/>
  <c r="E17" i="1"/>
  <c r="GS16" i="1"/>
  <c r="GP16" i="1"/>
  <c r="GL16" i="1"/>
  <c r="GH16" i="1"/>
  <c r="GB16" i="1"/>
  <c r="GC16" i="1" s="1"/>
  <c r="GA16" i="1"/>
  <c r="FX16" i="1"/>
  <c r="FS16" i="1"/>
  <c r="FQ16" i="1"/>
  <c r="FN16" i="1"/>
  <c r="FK16" i="1"/>
  <c r="FH16" i="1"/>
  <c r="FD16" i="1"/>
  <c r="EZ16" i="1"/>
  <c r="EV16" i="1"/>
  <c r="EQ16" i="1"/>
  <c r="EM16" i="1"/>
  <c r="EJ16" i="1"/>
  <c r="EG16" i="1"/>
  <c r="EC16" i="1"/>
  <c r="DZ16" i="1"/>
  <c r="DV16" i="1"/>
  <c r="DQ16" i="1"/>
  <c r="DI16" i="1"/>
  <c r="DH16" i="1"/>
  <c r="DC16" i="1"/>
  <c r="CY16" i="1"/>
  <c r="CV16" i="1"/>
  <c r="CQ16" i="1"/>
  <c r="CO16" i="1"/>
  <c r="CL16" i="1"/>
  <c r="CI16" i="1"/>
  <c r="CF16" i="1"/>
  <c r="CR16" i="1" s="1"/>
  <c r="BZ16" i="1"/>
  <c r="BW16" i="1"/>
  <c r="BR16" i="1"/>
  <c r="BM16" i="1"/>
  <c r="BG16" i="1"/>
  <c r="BH16" i="1" s="1"/>
  <c r="BF16" i="1"/>
  <c r="BA16" i="1"/>
  <c r="AW16" i="1"/>
  <c r="AR16" i="1"/>
  <c r="AO16" i="1"/>
  <c r="AN16" i="1"/>
  <c r="AI16" i="1"/>
  <c r="AJ16" i="1" s="1"/>
  <c r="AE16" i="1"/>
  <c r="AC16" i="1"/>
  <c r="Z16" i="1"/>
  <c r="U16" i="1"/>
  <c r="O16" i="1"/>
  <c r="P16" i="1" s="1"/>
  <c r="K16" i="1"/>
  <c r="J16" i="1"/>
  <c r="E16" i="1"/>
  <c r="GS15" i="1"/>
  <c r="GP15" i="1"/>
  <c r="GL15" i="1"/>
  <c r="GH15" i="1"/>
  <c r="GB15" i="1"/>
  <c r="GC15" i="1" s="1"/>
  <c r="GA15" i="1"/>
  <c r="FX15" i="1"/>
  <c r="FS15" i="1"/>
  <c r="FQ15" i="1"/>
  <c r="FN15" i="1"/>
  <c r="FK15" i="1"/>
  <c r="FH15" i="1"/>
  <c r="FD15" i="1"/>
  <c r="EZ15" i="1"/>
  <c r="EV15" i="1"/>
  <c r="EQ15" i="1"/>
  <c r="EM15" i="1"/>
  <c r="EJ15" i="1"/>
  <c r="EG15" i="1"/>
  <c r="EC15" i="1"/>
  <c r="DZ15" i="1"/>
  <c r="DV15" i="1"/>
  <c r="DQ15" i="1"/>
  <c r="DI15" i="1"/>
  <c r="DH15" i="1"/>
  <c r="DC15" i="1"/>
  <c r="CY15" i="1"/>
  <c r="CV15" i="1"/>
  <c r="CQ15" i="1"/>
  <c r="CO15" i="1"/>
  <c r="CL15" i="1"/>
  <c r="CI15" i="1"/>
  <c r="CF15" i="1"/>
  <c r="CR15" i="1" s="1"/>
  <c r="BZ15" i="1"/>
  <c r="BW15" i="1"/>
  <c r="BR15" i="1"/>
  <c r="BH15" i="1"/>
  <c r="BF15" i="1"/>
  <c r="BG15" i="1" s="1"/>
  <c r="BA15" i="1"/>
  <c r="AW15" i="1"/>
  <c r="AR15" i="1"/>
  <c r="AN15" i="1"/>
  <c r="AO15" i="1" s="1"/>
  <c r="AJ15" i="1"/>
  <c r="AI15" i="1"/>
  <c r="AC15" i="1"/>
  <c r="AE15" i="1" s="1"/>
  <c r="Z15" i="1"/>
  <c r="U15" i="1"/>
  <c r="P15" i="1"/>
  <c r="O15" i="1"/>
  <c r="J15" i="1"/>
  <c r="K15" i="1" s="1"/>
  <c r="E15" i="1"/>
  <c r="GS14" i="1"/>
  <c r="GP14" i="1"/>
  <c r="GL14" i="1"/>
  <c r="GH14" i="1"/>
  <c r="GB14" i="1"/>
  <c r="GA14" i="1"/>
  <c r="GC14" i="1" s="1"/>
  <c r="FX14" i="1"/>
  <c r="FS14" i="1"/>
  <c r="FQ14" i="1"/>
  <c r="FN14" i="1"/>
  <c r="FK14" i="1"/>
  <c r="FH14" i="1"/>
  <c r="FD14" i="1"/>
  <c r="EZ14" i="1"/>
  <c r="EV14" i="1"/>
  <c r="EQ14" i="1"/>
  <c r="EM14" i="1"/>
  <c r="EJ14" i="1"/>
  <c r="EG14" i="1"/>
  <c r="EC14" i="1"/>
  <c r="DZ14" i="1"/>
  <c r="DV14" i="1"/>
  <c r="DQ14" i="1"/>
  <c r="DN14" i="1"/>
  <c r="DI14" i="1"/>
  <c r="DH14" i="1"/>
  <c r="DC14" i="1"/>
  <c r="CY14" i="1"/>
  <c r="CV14" i="1"/>
  <c r="CQ14" i="1"/>
  <c r="CO14" i="1"/>
  <c r="CL14" i="1"/>
  <c r="CI14" i="1"/>
  <c r="CF14" i="1"/>
  <c r="CR14" i="1" s="1"/>
  <c r="BZ14" i="1"/>
  <c r="BW14" i="1"/>
  <c r="BR14" i="1"/>
  <c r="BM14" i="1"/>
  <c r="BG14" i="1"/>
  <c r="BH14" i="1" s="1"/>
  <c r="BF14" i="1"/>
  <c r="BA14" i="1"/>
  <c r="AW14" i="1"/>
  <c r="AR14" i="1"/>
  <c r="AO14" i="1"/>
  <c r="AN14" i="1"/>
  <c r="AI14" i="1"/>
  <c r="AJ14" i="1" s="1"/>
  <c r="AE14" i="1"/>
  <c r="AC14" i="1"/>
  <c r="Z14" i="1"/>
  <c r="U14" i="1"/>
  <c r="O14" i="1"/>
  <c r="P14" i="1" s="1"/>
  <c r="K14" i="1"/>
  <c r="J14" i="1"/>
  <c r="E14" i="1"/>
  <c r="GS13" i="1"/>
  <c r="GP13" i="1"/>
  <c r="GL13" i="1"/>
  <c r="GH13" i="1"/>
  <c r="GB13" i="1"/>
  <c r="GA13" i="1"/>
  <c r="FX13" i="1"/>
  <c r="FS13" i="1"/>
  <c r="FQ13" i="1"/>
  <c r="FN13" i="1"/>
  <c r="FK13" i="1"/>
  <c r="FH13" i="1"/>
  <c r="FD13" i="1"/>
  <c r="EZ13" i="1"/>
  <c r="EV13" i="1"/>
  <c r="EQ13" i="1"/>
  <c r="EM13" i="1"/>
  <c r="EJ13" i="1"/>
  <c r="EG13" i="1"/>
  <c r="EC13" i="1"/>
  <c r="DZ13" i="1"/>
  <c r="DV13" i="1"/>
  <c r="DQ13" i="1"/>
  <c r="DH13" i="1"/>
  <c r="DI13" i="1" s="1"/>
  <c r="DC13" i="1"/>
  <c r="CY13" i="1"/>
  <c r="CV13" i="1"/>
  <c r="CQ13" i="1"/>
  <c r="CO13" i="1"/>
  <c r="CL13" i="1"/>
  <c r="CI13" i="1"/>
  <c r="CR13" i="1" s="1"/>
  <c r="CF13" i="1"/>
  <c r="BZ13" i="1"/>
  <c r="BW13" i="1"/>
  <c r="BR13" i="1"/>
  <c r="BM13" i="1"/>
  <c r="BF13" i="1"/>
  <c r="BG13" i="1" s="1"/>
  <c r="BH13" i="1" s="1"/>
  <c r="BA13" i="1"/>
  <c r="AW13" i="1"/>
  <c r="AR13" i="1"/>
  <c r="AN13" i="1"/>
  <c r="AO13" i="1" s="1"/>
  <c r="AJ13" i="1"/>
  <c r="AI13" i="1"/>
  <c r="AC13" i="1"/>
  <c r="AE13" i="1" s="1"/>
  <c r="Z13" i="1"/>
  <c r="U13" i="1"/>
  <c r="P13" i="1"/>
  <c r="O13" i="1"/>
  <c r="J13" i="1"/>
  <c r="K13" i="1" s="1"/>
  <c r="E13" i="1"/>
  <c r="GS12" i="1"/>
  <c r="GP12" i="1"/>
  <c r="GL12" i="1"/>
  <c r="GH12" i="1"/>
  <c r="GB12" i="1"/>
  <c r="GA12" i="1"/>
  <c r="GC12" i="1" s="1"/>
  <c r="FX12" i="1"/>
  <c r="FS12" i="1"/>
  <c r="FQ12" i="1"/>
  <c r="FN12" i="1"/>
  <c r="FK12" i="1"/>
  <c r="FH12" i="1"/>
  <c r="FD12" i="1"/>
  <c r="EZ12" i="1"/>
  <c r="EV12" i="1"/>
  <c r="EQ12" i="1"/>
  <c r="EM12" i="1"/>
  <c r="EJ12" i="1"/>
  <c r="EG12" i="1"/>
  <c r="EC12" i="1"/>
  <c r="DZ12" i="1"/>
  <c r="DV12" i="1"/>
  <c r="DQ12" i="1"/>
  <c r="DH12" i="1"/>
  <c r="DI12" i="1" s="1"/>
  <c r="DC12" i="1"/>
  <c r="CY12" i="1"/>
  <c r="CV12" i="1"/>
  <c r="CQ12" i="1"/>
  <c r="CO12" i="1"/>
  <c r="CL12" i="1"/>
  <c r="CI12" i="1"/>
  <c r="CR12" i="1" s="1"/>
  <c r="CF12" i="1"/>
  <c r="BZ12" i="1"/>
  <c r="BW12" i="1"/>
  <c r="BR12" i="1"/>
  <c r="BM12" i="1"/>
  <c r="BF12" i="1"/>
  <c r="BG12" i="1" s="1"/>
  <c r="BH12" i="1" s="1"/>
  <c r="BA12" i="1"/>
  <c r="AW12" i="1"/>
  <c r="AR12" i="1"/>
  <c r="AN12" i="1"/>
  <c r="AO12" i="1" s="1"/>
  <c r="AJ12" i="1"/>
  <c r="AI12" i="1"/>
  <c r="AC12" i="1"/>
  <c r="AE12" i="1" s="1"/>
  <c r="Z12" i="1"/>
  <c r="U12" i="1"/>
  <c r="P12" i="1"/>
  <c r="O12" i="1"/>
  <c r="J12" i="1"/>
  <c r="K12" i="1" s="1"/>
  <c r="E12" i="1"/>
  <c r="GS11" i="1"/>
  <c r="GP11" i="1"/>
  <c r="GL11" i="1"/>
  <c r="GH11" i="1"/>
  <c r="GB11" i="1"/>
  <c r="GA11" i="1"/>
  <c r="GC11" i="1" s="1"/>
  <c r="FX11" i="1"/>
  <c r="FS11" i="1"/>
  <c r="FQ11" i="1"/>
  <c r="FN11" i="1"/>
  <c r="FK11" i="1"/>
  <c r="FH11" i="1"/>
  <c r="FD11" i="1"/>
  <c r="EZ11" i="1"/>
  <c r="EV11" i="1"/>
  <c r="EQ11" i="1"/>
  <c r="EM11" i="1"/>
  <c r="EJ11" i="1"/>
  <c r="EG11" i="1"/>
  <c r="EC11" i="1"/>
  <c r="DZ11" i="1"/>
  <c r="DV11" i="1"/>
  <c r="DQ11" i="1"/>
  <c r="DN11" i="1"/>
  <c r="DI11" i="1"/>
  <c r="DH11" i="1"/>
  <c r="DC11" i="1"/>
  <c r="CY11" i="1"/>
  <c r="CV11" i="1"/>
  <c r="CQ11" i="1"/>
  <c r="CO11" i="1"/>
  <c r="CL11" i="1"/>
  <c r="CI11" i="1"/>
  <c r="CF11" i="1"/>
  <c r="CR11" i="1" s="1"/>
  <c r="BZ11" i="1"/>
  <c r="BW11" i="1"/>
  <c r="BR11" i="1"/>
  <c r="BM11" i="1"/>
  <c r="BG11" i="1"/>
  <c r="BH11" i="1" s="1"/>
  <c r="BF11" i="1"/>
  <c r="BA11" i="1"/>
  <c r="AW11" i="1"/>
  <c r="AR11" i="1"/>
  <c r="AO11" i="1"/>
  <c r="AN11" i="1"/>
  <c r="AI11" i="1"/>
  <c r="AJ11" i="1" s="1"/>
  <c r="AE11" i="1"/>
  <c r="AC11" i="1"/>
  <c r="Z11" i="1"/>
  <c r="U11" i="1"/>
  <c r="O11" i="1"/>
  <c r="P11" i="1" s="1"/>
  <c r="K11" i="1"/>
  <c r="J11" i="1"/>
  <c r="E11" i="1"/>
  <c r="GS10" i="1"/>
  <c r="GP10" i="1"/>
  <c r="GL10" i="1"/>
  <c r="GH10" i="1"/>
  <c r="GB10" i="1"/>
  <c r="GC10" i="1" s="1"/>
  <c r="GA10" i="1"/>
  <c r="FX10" i="1"/>
  <c r="FS10" i="1"/>
  <c r="FQ10" i="1"/>
  <c r="FN10" i="1"/>
  <c r="FK10" i="1"/>
  <c r="FH10" i="1"/>
  <c r="FD10" i="1"/>
  <c r="EZ10" i="1"/>
  <c r="EV10" i="1"/>
  <c r="EQ10" i="1"/>
  <c r="EM10" i="1"/>
  <c r="EJ10" i="1"/>
  <c r="EG10" i="1"/>
  <c r="EC10" i="1"/>
  <c r="DZ10" i="1"/>
  <c r="DV10" i="1"/>
  <c r="DQ10" i="1"/>
  <c r="DI10" i="1"/>
  <c r="DH10" i="1"/>
  <c r="DC10" i="1"/>
  <c r="CY10" i="1"/>
  <c r="CV10" i="1"/>
  <c r="CQ10" i="1"/>
  <c r="CO10" i="1"/>
  <c r="CL10" i="1"/>
  <c r="CI10" i="1"/>
  <c r="CF10" i="1"/>
  <c r="CR10" i="1" s="1"/>
  <c r="BZ10" i="1"/>
  <c r="BW10" i="1"/>
  <c r="BR10" i="1"/>
  <c r="BM10" i="1"/>
  <c r="BG10" i="1"/>
  <c r="BH10" i="1" s="1"/>
  <c r="BA10" i="1"/>
  <c r="AW10" i="1"/>
  <c r="AR10" i="1"/>
  <c r="AN10" i="1"/>
  <c r="AO10" i="1" s="1"/>
  <c r="AP10" i="1" s="1"/>
  <c r="AJ10" i="1"/>
  <c r="AI10" i="1"/>
  <c r="AC10" i="1"/>
  <c r="AE10" i="1" s="1"/>
  <c r="AF10" i="1" s="1"/>
  <c r="Z10" i="1"/>
  <c r="U10" i="1"/>
  <c r="P10" i="1"/>
  <c r="O10" i="1"/>
  <c r="J10" i="1"/>
  <c r="K10" i="1" s="1"/>
  <c r="L10" i="1" s="1"/>
  <c r="E10" i="1"/>
  <c r="GS9" i="1"/>
  <c r="GP9" i="1"/>
  <c r="GL9" i="1"/>
  <c r="GH9" i="1"/>
  <c r="GB9" i="1"/>
  <c r="GA9" i="1"/>
  <c r="GC9" i="1" s="1"/>
  <c r="FX9" i="1"/>
  <c r="FS9" i="1"/>
  <c r="FQ9" i="1"/>
  <c r="FN9" i="1"/>
  <c r="FK9" i="1"/>
  <c r="FH9" i="1"/>
  <c r="FD9" i="1"/>
  <c r="EZ9" i="1"/>
  <c r="EV9" i="1"/>
  <c r="EQ9" i="1"/>
  <c r="EM9" i="1"/>
  <c r="EJ9" i="1"/>
  <c r="EG9" i="1"/>
  <c r="EC9" i="1"/>
  <c r="DZ9" i="1"/>
  <c r="DV9" i="1"/>
  <c r="DQ9" i="1"/>
  <c r="DN9" i="1"/>
  <c r="DI9" i="1"/>
  <c r="DH9" i="1"/>
  <c r="DC9" i="1"/>
  <c r="CY9" i="1"/>
  <c r="CV9" i="1"/>
  <c r="CQ9" i="1"/>
  <c r="CO9" i="1"/>
  <c r="CL9" i="1"/>
  <c r="CI9" i="1"/>
  <c r="CF9" i="1"/>
  <c r="CR9" i="1" s="1"/>
  <c r="BZ9" i="1"/>
  <c r="BW9" i="1"/>
  <c r="BR9" i="1"/>
  <c r="BM9" i="1"/>
  <c r="BG9" i="1"/>
  <c r="BH9" i="1" s="1"/>
  <c r="BF9" i="1"/>
  <c r="BA9" i="1"/>
  <c r="AW9" i="1"/>
  <c r="AR9" i="1"/>
  <c r="AO9" i="1"/>
  <c r="AN9" i="1"/>
  <c r="AI9" i="1"/>
  <c r="AJ9" i="1" s="1"/>
  <c r="AE9" i="1"/>
  <c r="AC9" i="1"/>
  <c r="Z9" i="1"/>
  <c r="U9" i="1"/>
  <c r="O9" i="1"/>
  <c r="P9" i="1" s="1"/>
  <c r="K9" i="1"/>
  <c r="J9" i="1"/>
  <c r="E9" i="1"/>
  <c r="GS8" i="1"/>
  <c r="GP8" i="1"/>
  <c r="GL8" i="1"/>
  <c r="GM8" i="1" s="1"/>
  <c r="GH8" i="1"/>
  <c r="GB8" i="1"/>
  <c r="GC8" i="1" s="1"/>
  <c r="GA8" i="1"/>
  <c r="FX8" i="1"/>
  <c r="FS8" i="1"/>
  <c r="FQ8" i="1"/>
  <c r="FN8" i="1"/>
  <c r="FK8" i="1"/>
  <c r="FH8" i="1"/>
  <c r="FD8" i="1"/>
  <c r="FE8" i="1" s="1"/>
  <c r="EZ8" i="1"/>
  <c r="FA8" i="1" s="1"/>
  <c r="EV8" i="1"/>
  <c r="EW8" i="1" s="1"/>
  <c r="EQ8" i="1"/>
  <c r="ER8" i="1" s="1"/>
  <c r="EM8" i="1"/>
  <c r="EJ8" i="1"/>
  <c r="EG8" i="1"/>
  <c r="EC8" i="1"/>
  <c r="DZ8" i="1"/>
  <c r="DV8" i="1"/>
  <c r="DW8" i="1" s="1"/>
  <c r="DQ8" i="1"/>
  <c r="DO8" i="1"/>
  <c r="DI8" i="1"/>
  <c r="DJ8" i="1" s="1"/>
  <c r="DH8" i="1"/>
  <c r="DC8" i="1"/>
  <c r="CY8" i="1"/>
  <c r="CV8" i="1"/>
  <c r="CQ8" i="1"/>
  <c r="CO8" i="1"/>
  <c r="CL8" i="1"/>
  <c r="CI8" i="1"/>
  <c r="CF8" i="1"/>
  <c r="CR8" i="1" s="1"/>
  <c r="BZ8" i="1"/>
  <c r="BW8" i="1"/>
  <c r="BR8" i="1"/>
  <c r="BM8" i="1"/>
  <c r="BG8" i="1"/>
  <c r="BH8" i="1" s="1"/>
  <c r="BF8" i="1"/>
  <c r="BA8" i="1"/>
  <c r="AW8" i="1"/>
  <c r="AR8" i="1"/>
  <c r="AO8" i="1"/>
  <c r="AP8" i="1" s="1"/>
  <c r="AN8" i="1"/>
  <c r="AI8" i="1"/>
  <c r="AJ8" i="1" s="1"/>
  <c r="AE8" i="1"/>
  <c r="AF8" i="1" s="1"/>
  <c r="AC8" i="1"/>
  <c r="Z8" i="1"/>
  <c r="U8" i="1"/>
  <c r="O8" i="1"/>
  <c r="P8" i="1" s="1"/>
  <c r="K8" i="1"/>
  <c r="L8" i="1" s="1"/>
  <c r="J8" i="1"/>
  <c r="E8" i="1"/>
  <c r="GS7" i="1"/>
  <c r="GP7" i="1"/>
  <c r="GQ9" i="1" s="1"/>
  <c r="GL7" i="1"/>
  <c r="GM9" i="1" s="1"/>
  <c r="GH7" i="1"/>
  <c r="GB7" i="1"/>
  <c r="GB24" i="1" s="1"/>
  <c r="GC24" i="1" s="1"/>
  <c r="GA7" i="1"/>
  <c r="GA24" i="1" s="1"/>
  <c r="FY7" i="1"/>
  <c r="FX7" i="1"/>
  <c r="FS7" i="1"/>
  <c r="FQ7" i="1"/>
  <c r="FN7" i="1"/>
  <c r="FK7" i="1"/>
  <c r="FH7" i="1"/>
  <c r="FD7" i="1"/>
  <c r="FE7" i="1" s="1"/>
  <c r="EZ7" i="1"/>
  <c r="FA7" i="1" s="1"/>
  <c r="EV7" i="1"/>
  <c r="EW7" i="1" s="1"/>
  <c r="EQ7" i="1"/>
  <c r="ER7" i="1" s="1"/>
  <c r="EM7" i="1"/>
  <c r="EJ7" i="1"/>
  <c r="EG7" i="1"/>
  <c r="ED7" i="1"/>
  <c r="EC7" i="1"/>
  <c r="DZ7" i="1"/>
  <c r="DV7" i="1"/>
  <c r="DQ7" i="1"/>
  <c r="DO7" i="1"/>
  <c r="DI7" i="1"/>
  <c r="DJ17" i="1" s="1"/>
  <c r="DH7" i="1"/>
  <c r="DD7" i="1"/>
  <c r="DC7" i="1"/>
  <c r="CY7" i="1"/>
  <c r="CV7" i="1"/>
  <c r="CQ7" i="1"/>
  <c r="CO7" i="1"/>
  <c r="CL7" i="1"/>
  <c r="CI7" i="1"/>
  <c r="CF7" i="1"/>
  <c r="CR7" i="1" s="1"/>
  <c r="BZ7" i="1"/>
  <c r="BX7" i="1"/>
  <c r="BW7" i="1"/>
  <c r="BS7" i="1"/>
  <c r="BR7" i="1"/>
  <c r="BN7" i="1"/>
  <c r="BM7" i="1"/>
  <c r="BG7" i="1"/>
  <c r="BH7" i="1" s="1"/>
  <c r="BF7" i="1"/>
  <c r="BB7" i="1"/>
  <c r="BA7" i="1"/>
  <c r="AX7" i="1"/>
  <c r="AW7" i="1"/>
  <c r="AR7" i="1"/>
  <c r="AO7" i="1"/>
  <c r="AP15" i="1" s="1"/>
  <c r="AN7" i="1"/>
  <c r="AN24" i="1" s="1"/>
  <c r="AI7" i="1"/>
  <c r="AI24" i="1" s="1"/>
  <c r="AE7" i="1"/>
  <c r="AF15" i="1" s="1"/>
  <c r="AC7" i="1"/>
  <c r="AC24" i="1" s="1"/>
  <c r="AA7" i="1"/>
  <c r="Z7" i="1"/>
  <c r="V7" i="1"/>
  <c r="U7" i="1"/>
  <c r="O7" i="1"/>
  <c r="O24" i="1" s="1"/>
  <c r="K7" i="1"/>
  <c r="L15" i="1" s="1"/>
  <c r="J7" i="1"/>
  <c r="F7" i="1"/>
  <c r="E7" i="1"/>
  <c r="BI20" i="1" l="1"/>
  <c r="BI19" i="1"/>
  <c r="BI9" i="1"/>
  <c r="BI7" i="1"/>
  <c r="CS8" i="1"/>
  <c r="CS10" i="1"/>
  <c r="CA7" i="1"/>
  <c r="CS20" i="1"/>
  <c r="CS19" i="1"/>
  <c r="CS9" i="1"/>
  <c r="CS7" i="1"/>
  <c r="BI8" i="1"/>
  <c r="BI10" i="1"/>
  <c r="DW22" i="1"/>
  <c r="DW21" i="1"/>
  <c r="DW23" i="1"/>
  <c r="DW20" i="1"/>
  <c r="DW14" i="1"/>
  <c r="DW13" i="1"/>
  <c r="DW12" i="1"/>
  <c r="DW11" i="1"/>
  <c r="F20" i="1"/>
  <c r="F19" i="1"/>
  <c r="F18" i="1"/>
  <c r="F17" i="1"/>
  <c r="F16" i="1"/>
  <c r="F14" i="1"/>
  <c r="F11" i="1"/>
  <c r="L7" i="1"/>
  <c r="P7" i="1"/>
  <c r="Q8" i="1" s="1"/>
  <c r="V20" i="1"/>
  <c r="V19" i="1"/>
  <c r="V18" i="1"/>
  <c r="V17" i="1"/>
  <c r="V16" i="1"/>
  <c r="V14" i="1"/>
  <c r="V11" i="1"/>
  <c r="AA20" i="1"/>
  <c r="AA19" i="1"/>
  <c r="AA18" i="1"/>
  <c r="AA17" i="1"/>
  <c r="AA16" i="1"/>
  <c r="AA14" i="1"/>
  <c r="AA11" i="1"/>
  <c r="AF7" i="1"/>
  <c r="AJ7" i="1"/>
  <c r="AK8" i="1" s="1"/>
  <c r="AP7" i="1"/>
  <c r="AX21" i="1"/>
  <c r="AX20" i="1"/>
  <c r="AX19" i="1"/>
  <c r="AX18" i="1"/>
  <c r="AX17" i="1"/>
  <c r="AX16" i="1"/>
  <c r="AX14" i="1"/>
  <c r="AX11" i="1"/>
  <c r="BB21" i="1"/>
  <c r="BB20" i="1"/>
  <c r="BB19" i="1"/>
  <c r="BB18" i="1"/>
  <c r="BB17" i="1"/>
  <c r="BB16" i="1"/>
  <c r="BB14" i="1"/>
  <c r="BB11" i="1"/>
  <c r="BN21" i="1"/>
  <c r="BN17" i="1"/>
  <c r="BN20" i="1"/>
  <c r="BN19" i="1"/>
  <c r="BN18" i="1"/>
  <c r="BN16" i="1"/>
  <c r="BN15" i="1"/>
  <c r="BN14" i="1"/>
  <c r="BN11" i="1"/>
  <c r="BS21" i="1"/>
  <c r="BS20" i="1"/>
  <c r="BS19" i="1"/>
  <c r="BS18" i="1"/>
  <c r="BS16" i="1"/>
  <c r="BS15" i="1"/>
  <c r="BS14" i="1"/>
  <c r="BS11" i="1"/>
  <c r="BX21" i="1"/>
  <c r="BX20" i="1"/>
  <c r="BX19" i="1"/>
  <c r="BX18" i="1"/>
  <c r="BX16" i="1"/>
  <c r="BX15" i="1"/>
  <c r="BX14" i="1"/>
  <c r="BX11" i="1"/>
  <c r="DD21" i="1"/>
  <c r="DD20" i="1"/>
  <c r="DD19" i="1"/>
  <c r="DD18" i="1"/>
  <c r="DD16" i="1"/>
  <c r="DD15" i="1"/>
  <c r="DD14" i="1"/>
  <c r="DD11" i="1"/>
  <c r="DJ7" i="1"/>
  <c r="DR7" i="1" s="1"/>
  <c r="DW7" i="1"/>
  <c r="FT7" i="1" s="1"/>
  <c r="ED23" i="1"/>
  <c r="ED19" i="1"/>
  <c r="ED18" i="1"/>
  <c r="ED17" i="1"/>
  <c r="ED16" i="1"/>
  <c r="ED15" i="1"/>
  <c r="FY23" i="1"/>
  <c r="FY19" i="1"/>
  <c r="FY18" i="1"/>
  <c r="FY17" i="1"/>
  <c r="FY16" i="1"/>
  <c r="FY15" i="1"/>
  <c r="FY10" i="1"/>
  <c r="GC7" i="1"/>
  <c r="GD8" i="1" s="1"/>
  <c r="GM7" i="1"/>
  <c r="GQ7" i="1"/>
  <c r="F9" i="1"/>
  <c r="L9" i="1"/>
  <c r="V9" i="1"/>
  <c r="AA9" i="1"/>
  <c r="AF9" i="1"/>
  <c r="AP9" i="1"/>
  <c r="AX9" i="1"/>
  <c r="BB9" i="1"/>
  <c r="DO23" i="1"/>
  <c r="DO22" i="1"/>
  <c r="DO19" i="1"/>
  <c r="DO18" i="1"/>
  <c r="DO13" i="1"/>
  <c r="DO12" i="1"/>
  <c r="DO9" i="1"/>
  <c r="DO17" i="1"/>
  <c r="DO16" i="1"/>
  <c r="DO15" i="1"/>
  <c r="DW9" i="1"/>
  <c r="ED9" i="1"/>
  <c r="FY9" i="1"/>
  <c r="F10" i="1"/>
  <c r="Q10" i="1"/>
  <c r="AA10" i="1"/>
  <c r="AK10" i="1"/>
  <c r="BB10" i="1"/>
  <c r="BN10" i="1"/>
  <c r="BS10" i="1"/>
  <c r="BX10" i="1"/>
  <c r="DD10" i="1"/>
  <c r="DJ10" i="1"/>
  <c r="DW10" i="1"/>
  <c r="EW10" i="1"/>
  <c r="FE10" i="1"/>
  <c r="GM10" i="1"/>
  <c r="Q11" i="1"/>
  <c r="AF11" i="1"/>
  <c r="BI11" i="1"/>
  <c r="DJ11" i="1"/>
  <c r="DR11" i="1" s="1"/>
  <c r="FY11" i="1"/>
  <c r="L12" i="1"/>
  <c r="Q12" i="1"/>
  <c r="AA12" i="1"/>
  <c r="AP12" i="1"/>
  <c r="AX12" i="1"/>
  <c r="BI12" i="1"/>
  <c r="BS12" i="1"/>
  <c r="CS12" i="1"/>
  <c r="DD12" i="1"/>
  <c r="FY12" i="1"/>
  <c r="L13" i="1"/>
  <c r="Q13" i="1"/>
  <c r="AA13" i="1"/>
  <c r="AP13" i="1"/>
  <c r="AX13" i="1"/>
  <c r="BI13" i="1"/>
  <c r="BS13" i="1"/>
  <c r="CS13" i="1"/>
  <c r="DD13" i="1"/>
  <c r="DR13" i="1" s="1"/>
  <c r="FY13" i="1"/>
  <c r="BI14" i="1"/>
  <c r="CS16" i="1"/>
  <c r="BI17" i="1"/>
  <c r="BI18" i="1"/>
  <c r="ER22" i="1"/>
  <c r="ER21" i="1"/>
  <c r="ER20" i="1"/>
  <c r="ER14" i="1"/>
  <c r="ER13" i="1"/>
  <c r="ER12" i="1"/>
  <c r="ER11" i="1"/>
  <c r="EW22" i="1"/>
  <c r="EW21" i="1"/>
  <c r="EW20" i="1"/>
  <c r="EW14" i="1"/>
  <c r="EW13" i="1"/>
  <c r="EW12" i="1"/>
  <c r="EW11" i="1"/>
  <c r="FA22" i="1"/>
  <c r="FA21" i="1"/>
  <c r="FA20" i="1"/>
  <c r="FA14" i="1"/>
  <c r="FA13" i="1"/>
  <c r="FA12" i="1"/>
  <c r="FA11" i="1"/>
  <c r="FE22" i="1"/>
  <c r="FE21" i="1"/>
  <c r="FE20" i="1"/>
  <c r="FE14" i="1"/>
  <c r="FE13" i="1"/>
  <c r="FE12" i="1"/>
  <c r="FE11" i="1"/>
  <c r="GM22" i="1"/>
  <c r="GM21" i="1"/>
  <c r="GM20" i="1"/>
  <c r="GM14" i="1"/>
  <c r="GM12" i="1"/>
  <c r="GM11" i="1"/>
  <c r="GQ22" i="1"/>
  <c r="GQ21" i="1"/>
  <c r="GQ20" i="1"/>
  <c r="GQ14" i="1"/>
  <c r="GQ12" i="1"/>
  <c r="GQ11" i="1"/>
  <c r="F8" i="1"/>
  <c r="V8" i="1"/>
  <c r="AA8" i="1"/>
  <c r="AX8" i="1"/>
  <c r="BB8" i="1"/>
  <c r="BN8" i="1"/>
  <c r="BS8" i="1"/>
  <c r="BX8" i="1"/>
  <c r="DD8" i="1"/>
  <c r="DR8" i="1" s="1"/>
  <c r="ED8" i="1"/>
  <c r="FT8" i="1" s="1"/>
  <c r="FY8" i="1"/>
  <c r="GQ8" i="1"/>
  <c r="BN9" i="1"/>
  <c r="BS9" i="1"/>
  <c r="BX9" i="1"/>
  <c r="DD9" i="1"/>
  <c r="DR9" i="1" s="1"/>
  <c r="DJ9" i="1"/>
  <c r="ER9" i="1"/>
  <c r="EW9" i="1"/>
  <c r="FA9" i="1"/>
  <c r="FE9" i="1"/>
  <c r="V10" i="1"/>
  <c r="AX10" i="1"/>
  <c r="CA10" i="1" s="1"/>
  <c r="DO10" i="1"/>
  <c r="ED10" i="1"/>
  <c r="ER10" i="1"/>
  <c r="FA10" i="1"/>
  <c r="GQ10" i="1"/>
  <c r="L11" i="1"/>
  <c r="AK11" i="1"/>
  <c r="AP11" i="1"/>
  <c r="CS11" i="1"/>
  <c r="DO11" i="1"/>
  <c r="ED11" i="1"/>
  <c r="F12" i="1"/>
  <c r="V12" i="1"/>
  <c r="AF12" i="1"/>
  <c r="AK12" i="1"/>
  <c r="BB12" i="1"/>
  <c r="BN12" i="1"/>
  <c r="BX12" i="1"/>
  <c r="DJ12" i="1"/>
  <c r="DR12" i="1" s="1"/>
  <c r="ED12" i="1"/>
  <c r="F13" i="1"/>
  <c r="V13" i="1"/>
  <c r="AF13" i="1"/>
  <c r="AK13" i="1"/>
  <c r="BB13" i="1"/>
  <c r="BN13" i="1"/>
  <c r="BX13" i="1"/>
  <c r="DJ13" i="1"/>
  <c r="ED13" i="1"/>
  <c r="CS14" i="1"/>
  <c r="CS15" i="1"/>
  <c r="BI16" i="1"/>
  <c r="CS17" i="1"/>
  <c r="CS18" i="1"/>
  <c r="GM13" i="1"/>
  <c r="L14" i="1"/>
  <c r="AF14" i="1"/>
  <c r="AP14" i="1"/>
  <c r="DO14" i="1"/>
  <c r="ED14" i="1"/>
  <c r="FY14" i="1"/>
  <c r="F15" i="1"/>
  <c r="Q15" i="1"/>
  <c r="AA15" i="1"/>
  <c r="AK15" i="1"/>
  <c r="BB15" i="1"/>
  <c r="BI15" i="1"/>
  <c r="ER15" i="1"/>
  <c r="FA15" i="1"/>
  <c r="GM15" i="1"/>
  <c r="L16" i="1"/>
  <c r="AF16" i="1"/>
  <c r="AP16" i="1"/>
  <c r="ER16" i="1"/>
  <c r="FA16" i="1"/>
  <c r="GM16" i="1"/>
  <c r="L17" i="1"/>
  <c r="AF17" i="1"/>
  <c r="AP17" i="1"/>
  <c r="BS17" i="1"/>
  <c r="DD17" i="1"/>
  <c r="DR17" i="1" s="1"/>
  <c r="ER17" i="1"/>
  <c r="FA17" i="1"/>
  <c r="GM17" i="1"/>
  <c r="L18" i="1"/>
  <c r="AF18" i="1"/>
  <c r="AP18" i="1"/>
  <c r="DJ18" i="1"/>
  <c r="DW18" i="1"/>
  <c r="ER18" i="1"/>
  <c r="FA18" i="1"/>
  <c r="AK19" i="1"/>
  <c r="Q20" i="1"/>
  <c r="L21" i="1"/>
  <c r="AP21" i="1"/>
  <c r="GC13" i="1"/>
  <c r="GD13" i="1" s="1"/>
  <c r="GQ13" i="1"/>
  <c r="DJ14" i="1"/>
  <c r="DR14" i="1" s="1"/>
  <c r="V15" i="1"/>
  <c r="AX15" i="1"/>
  <c r="CA15" i="1" s="1"/>
  <c r="DJ15" i="1"/>
  <c r="DW15" i="1"/>
  <c r="EW15" i="1"/>
  <c r="FE15" i="1"/>
  <c r="GQ15" i="1"/>
  <c r="DJ16" i="1"/>
  <c r="DW16" i="1"/>
  <c r="EW16" i="1"/>
  <c r="FE16" i="1"/>
  <c r="GQ16" i="1"/>
  <c r="BX17" i="1"/>
  <c r="DW17" i="1"/>
  <c r="EW17" i="1"/>
  <c r="FE17" i="1"/>
  <c r="GQ17" i="1"/>
  <c r="DR18" i="1"/>
  <c r="EW18" i="1"/>
  <c r="FE18" i="1"/>
  <c r="GD18" i="1"/>
  <c r="GM18" i="1"/>
  <c r="Q19" i="1"/>
  <c r="AK20" i="1"/>
  <c r="GD20" i="1"/>
  <c r="AF21" i="1"/>
  <c r="GQ18" i="1"/>
  <c r="DJ19" i="1"/>
  <c r="DR19" i="1" s="1"/>
  <c r="DW19" i="1"/>
  <c r="EW19" i="1"/>
  <c r="FE19" i="1"/>
  <c r="GQ19" i="1"/>
  <c r="DJ20" i="1"/>
  <c r="V21" i="1"/>
  <c r="CS21" i="1"/>
  <c r="DO21" i="1"/>
  <c r="ED21" i="1"/>
  <c r="GD21" i="1"/>
  <c r="F22" i="1"/>
  <c r="V22" i="1"/>
  <c r="AF22" i="1"/>
  <c r="AK22" i="1"/>
  <c r="BB22" i="1"/>
  <c r="BN22" i="1"/>
  <c r="BX22" i="1"/>
  <c r="DJ22" i="1"/>
  <c r="ED22" i="1"/>
  <c r="GD22" i="1"/>
  <c r="F23" i="1"/>
  <c r="V23" i="1"/>
  <c r="AF23" i="1"/>
  <c r="AK23" i="1"/>
  <c r="BB23" i="1"/>
  <c r="BN23" i="1"/>
  <c r="BX23" i="1"/>
  <c r="CS23" i="1"/>
  <c r="DJ23" i="1"/>
  <c r="EW23" i="1"/>
  <c r="FE23" i="1"/>
  <c r="GD23" i="1"/>
  <c r="GM23" i="1"/>
  <c r="AE24" i="1"/>
  <c r="L19" i="1"/>
  <c r="AF19" i="1"/>
  <c r="AP19" i="1"/>
  <c r="ER19" i="1"/>
  <c r="FA19" i="1"/>
  <c r="GM19" i="1"/>
  <c r="L20" i="1"/>
  <c r="AF20" i="1"/>
  <c r="AP20" i="1"/>
  <c r="DO20" i="1"/>
  <c r="DR20" i="1" s="1"/>
  <c r="ED20" i="1"/>
  <c r="FY20" i="1"/>
  <c r="GT20" i="1" s="1"/>
  <c r="F21" i="1"/>
  <c r="Q21" i="1"/>
  <c r="AA21" i="1"/>
  <c r="AK21" i="1"/>
  <c r="BI21" i="1"/>
  <c r="DR21" i="1"/>
  <c r="DJ21" i="1"/>
  <c r="FY21" i="1"/>
  <c r="GT21" i="1" s="1"/>
  <c r="L22" i="1"/>
  <c r="Q22" i="1"/>
  <c r="AA22" i="1"/>
  <c r="AP22" i="1"/>
  <c r="AX22" i="1"/>
  <c r="BI22" i="1"/>
  <c r="BS22" i="1"/>
  <c r="CS22" i="1"/>
  <c r="DD22" i="1"/>
  <c r="DR22" i="1" s="1"/>
  <c r="FY22" i="1"/>
  <c r="GT22" i="1" s="1"/>
  <c r="L23" i="1"/>
  <c r="Q23" i="1"/>
  <c r="AA23" i="1"/>
  <c r="AP23" i="1"/>
  <c r="AX23" i="1"/>
  <c r="BI23" i="1"/>
  <c r="BS23" i="1"/>
  <c r="DD23" i="1"/>
  <c r="DR23" i="1" s="1"/>
  <c r="ER23" i="1"/>
  <c r="FA23" i="1"/>
  <c r="GQ23" i="1"/>
  <c r="P24" i="1"/>
  <c r="AJ24" i="1"/>
  <c r="AW24" i="1"/>
  <c r="CA22" i="1" l="1"/>
  <c r="AS21" i="1"/>
  <c r="FT17" i="1"/>
  <c r="FT15" i="1"/>
  <c r="GD19" i="1"/>
  <c r="AS15" i="1"/>
  <c r="GD14" i="1"/>
  <c r="AS13" i="1"/>
  <c r="AS12" i="1"/>
  <c r="CA8" i="1"/>
  <c r="GT13" i="1"/>
  <c r="CA13" i="1"/>
  <c r="FT10" i="1"/>
  <c r="FU7" i="1" s="1"/>
  <c r="DR10" i="1"/>
  <c r="AS10" i="1"/>
  <c r="CA9" i="1"/>
  <c r="AS9" i="1"/>
  <c r="GT16" i="1"/>
  <c r="GT18" i="1"/>
  <c r="GT23" i="1"/>
  <c r="DR16" i="1"/>
  <c r="CA11" i="1"/>
  <c r="CA16" i="1"/>
  <c r="CA18" i="1"/>
  <c r="CA20" i="1"/>
  <c r="AS19" i="1"/>
  <c r="FT11" i="1"/>
  <c r="FT13" i="1"/>
  <c r="FT20" i="1"/>
  <c r="FT21" i="1"/>
  <c r="AK9" i="1"/>
  <c r="CA23" i="1"/>
  <c r="AS23" i="1"/>
  <c r="AS22" i="1"/>
  <c r="FT19" i="1"/>
  <c r="FT16" i="1"/>
  <c r="FT18" i="1"/>
  <c r="GT14" i="1"/>
  <c r="GD12" i="1"/>
  <c r="GT12" i="1" s="1"/>
  <c r="GD11" i="1"/>
  <c r="GT11" i="1" s="1"/>
  <c r="GT8" i="1"/>
  <c r="AS8" i="1"/>
  <c r="CA12" i="1"/>
  <c r="CB10" i="1" s="1"/>
  <c r="GD10" i="1"/>
  <c r="GT10" i="1" s="1"/>
  <c r="GT9" i="1"/>
  <c r="FT9" i="1"/>
  <c r="GD17" i="1"/>
  <c r="GT17" i="1" s="1"/>
  <c r="GU17" i="1" s="1"/>
  <c r="GD16" i="1"/>
  <c r="GD15" i="1"/>
  <c r="GD7" i="1"/>
  <c r="GT7" i="1" s="1"/>
  <c r="GT15" i="1"/>
  <c r="GT19" i="1"/>
  <c r="DR15" i="1"/>
  <c r="DS15" i="1" s="1"/>
  <c r="CA14" i="1"/>
  <c r="CA17" i="1"/>
  <c r="CB17" i="1" s="1"/>
  <c r="CA19" i="1"/>
  <c r="CA21" i="1"/>
  <c r="CB21" i="1" s="1"/>
  <c r="AK18" i="1"/>
  <c r="AK17" i="1"/>
  <c r="AK16" i="1"/>
  <c r="AK14" i="1"/>
  <c r="AS14" i="1" s="1"/>
  <c r="AK7" i="1"/>
  <c r="Q18" i="1"/>
  <c r="AS18" i="1" s="1"/>
  <c r="Q17" i="1"/>
  <c r="AS17" i="1" s="1"/>
  <c r="Q16" i="1"/>
  <c r="Q14" i="1"/>
  <c r="Q7" i="1"/>
  <c r="AS7" i="1" s="1"/>
  <c r="AT7" i="1" s="1"/>
  <c r="AS11" i="1"/>
  <c r="AS16" i="1"/>
  <c r="AS20" i="1"/>
  <c r="FT12" i="1"/>
  <c r="FT14" i="1"/>
  <c r="FT23" i="1"/>
  <c r="FT22" i="1"/>
  <c r="FU22" i="1" s="1"/>
  <c r="Q9" i="1"/>
  <c r="CB7" i="1"/>
  <c r="GD9" i="1"/>
  <c r="AT18" i="1" l="1"/>
  <c r="AT14" i="1"/>
  <c r="GU12" i="1"/>
  <c r="AT17" i="1"/>
  <c r="GU10" i="1"/>
  <c r="GU11" i="1"/>
  <c r="FU14" i="1"/>
  <c r="AT16" i="1"/>
  <c r="GU15" i="1"/>
  <c r="GU9" i="1"/>
  <c r="AT8" i="1"/>
  <c r="FU19" i="1"/>
  <c r="DS21" i="1"/>
  <c r="CB23" i="1"/>
  <c r="FU13" i="1"/>
  <c r="CB18" i="1"/>
  <c r="FU23" i="1"/>
  <c r="FU12" i="1"/>
  <c r="AT11" i="1"/>
  <c r="CB19" i="1"/>
  <c r="CB14" i="1"/>
  <c r="GU7" i="1"/>
  <c r="FU9" i="1"/>
  <c r="GU8" i="1"/>
  <c r="GU14" i="1"/>
  <c r="FU16" i="1"/>
  <c r="AT22" i="1"/>
  <c r="GU20" i="1"/>
  <c r="GU21" i="1"/>
  <c r="FU20" i="1"/>
  <c r="FU11" i="1"/>
  <c r="CB20" i="1"/>
  <c r="CB16" i="1"/>
  <c r="DS16" i="1"/>
  <c r="GU18" i="1"/>
  <c r="CB9" i="1"/>
  <c r="DS10" i="1"/>
  <c r="GU13" i="1"/>
  <c r="AT12" i="1"/>
  <c r="FU15" i="1"/>
  <c r="DS18" i="1"/>
  <c r="CB22" i="1"/>
  <c r="DS11" i="1"/>
  <c r="DS8" i="1"/>
  <c r="DS20" i="1"/>
  <c r="DS9" i="1"/>
  <c r="DS17" i="1"/>
  <c r="DS19" i="1"/>
  <c r="AT20" i="1"/>
  <c r="GV20" i="1" s="1"/>
  <c r="GU19" i="1"/>
  <c r="CB12" i="1"/>
  <c r="FU18" i="1"/>
  <c r="AT23" i="1"/>
  <c r="FU21" i="1"/>
  <c r="AT19" i="1"/>
  <c r="GV19" i="1" s="1"/>
  <c r="CB11" i="1"/>
  <c r="GU23" i="1"/>
  <c r="GU16" i="1"/>
  <c r="AT9" i="1"/>
  <c r="GV9" i="1" s="1"/>
  <c r="AT10" i="1"/>
  <c r="FU10" i="1"/>
  <c r="CB13" i="1"/>
  <c r="CB8" i="1"/>
  <c r="AT13" i="1"/>
  <c r="AT15" i="1"/>
  <c r="GV15" i="1" s="1"/>
  <c r="CB15" i="1"/>
  <c r="FU17" i="1"/>
  <c r="AT21" i="1"/>
  <c r="GV21" i="1" s="1"/>
  <c r="GU22" i="1"/>
  <c r="DS7" i="1"/>
  <c r="GV7" i="1" s="1"/>
  <c r="DS13" i="1"/>
  <c r="DS14" i="1"/>
  <c r="FU8" i="1"/>
  <c r="DS12" i="1"/>
  <c r="DS22" i="1"/>
  <c r="DS23" i="1"/>
  <c r="GV23" i="1" l="1"/>
  <c r="GV12" i="1"/>
  <c r="GV22" i="1"/>
  <c r="GV11" i="1"/>
  <c r="GV8" i="1"/>
  <c r="GV18" i="1"/>
  <c r="GV13" i="1"/>
  <c r="GV10" i="1"/>
  <c r="GV16" i="1"/>
  <c r="GV17" i="1"/>
  <c r="GW17" i="1" s="1"/>
  <c r="GV14" i="1"/>
  <c r="GW14" i="1" s="1"/>
  <c r="GW10" i="1" l="1"/>
  <c r="GW21" i="1"/>
  <c r="GW8" i="1"/>
  <c r="GW22" i="1"/>
  <c r="GW20" i="1"/>
  <c r="GW19" i="1"/>
  <c r="GW15" i="1"/>
  <c r="GW16" i="1"/>
  <c r="GW13" i="1"/>
  <c r="GW18" i="1"/>
  <c r="GW11" i="1"/>
  <c r="GW12" i="1"/>
  <c r="GW23" i="1"/>
  <c r="GW9" i="1"/>
  <c r="GW7" i="1"/>
</calcChain>
</file>

<file path=xl/sharedStrings.xml><?xml version="1.0" encoding="utf-8"?>
<sst xmlns="http://schemas.openxmlformats.org/spreadsheetml/2006/main" count="315" uniqueCount="186">
  <si>
    <t xml:space="preserve"> Расчет показателей для Конкурса по достижению наиболее результативных значений управленческой деятельности органов местного самоуправления сельских поселений Пермского муниципального района за 2020 год </t>
  </si>
  <si>
    <t>ответственный за показатель</t>
  </si>
  <si>
    <t>ФЭУ Михалева Т.Н.</t>
  </si>
  <si>
    <t>ФЭУ Макатуха О.В.</t>
  </si>
  <si>
    <t>ФЭУ Мосина Е.Н.</t>
  </si>
  <si>
    <t>ФЭУ Макатуха</t>
  </si>
  <si>
    <t>ФЭУ Михалева Т.Н., Мосина Е.Н.</t>
  </si>
  <si>
    <t>ФЭУ Юркина Л.М.</t>
  </si>
  <si>
    <t>Управление по делам культуры</t>
  </si>
  <si>
    <t>ФЭУ, бюджетный отдел</t>
  </si>
  <si>
    <t>УСР</t>
  </si>
  <si>
    <t>УПРАВЛЕНИЕ БЛАГОУСТРОЙСТВОМ</t>
  </si>
  <si>
    <t>Упр архит. и градостроительства</t>
  </si>
  <si>
    <t>КИО</t>
  </si>
  <si>
    <t>ФЭУ, Аппарат админ.</t>
  </si>
  <si>
    <t>Аппарат адм</t>
  </si>
  <si>
    <t>КСП</t>
  </si>
  <si>
    <t>Управление по развитию агропромышленного комплекса и предпринимательства администрации Пермского муниципального района Захарченко Т.Н.</t>
  </si>
  <si>
    <t>МКУ Управление благоустройством Пермского муниципального района</t>
  </si>
  <si>
    <t>Управление по развитию агропромышленного комплекса и предпринимательства администрации Пермского муниципального района</t>
  </si>
  <si>
    <t>ЦОБ</t>
  </si>
  <si>
    <t>МВД, ЦОБ</t>
  </si>
  <si>
    <t>Военкомат</t>
  </si>
  <si>
    <t>1. Управление муниципальными финансами</t>
  </si>
  <si>
    <t>2. Развитие человеческого потенциала</t>
  </si>
  <si>
    <t>3. Развитие инфраструктуры</t>
  </si>
  <si>
    <t>4. Управление ресурсами</t>
  </si>
  <si>
    <t>5. Развитие территории</t>
  </si>
  <si>
    <t>6. Обеспечение безопасности</t>
  </si>
  <si>
    <t>№ п/п</t>
  </si>
  <si>
    <t>Наименование поселения</t>
  </si>
  <si>
    <t>1.1. Темп прироста налоговых и неналоговых доходов, *</t>
  </si>
  <si>
    <t>1.2. Исполнение плана по налоговым и неналоговым доходам,**</t>
  </si>
  <si>
    <t>1.3. Объем федеральных и краевых средств, привлеченных поселением на софинансирование мероприятий в расчете на 1 жителя,*</t>
  </si>
  <si>
    <t>1.4. Исполнение плана по расходам,*</t>
  </si>
  <si>
    <t>1.5. Доля расходов на содержание ОМСУ поселений,*</t>
  </si>
  <si>
    <t>1.6. Доля расходов на мероприятия развития и инвестиционные расходы в общем объеме расходов бюджетов поселений,*</t>
  </si>
  <si>
    <t xml:space="preserve">1.7. Уровень кредиторской задолженности,*  </t>
  </si>
  <si>
    <t>1.8. Удельный вес невыясненных поступлений в объеме налоговых и неналоговых доходов на отчетную дату,***</t>
  </si>
  <si>
    <t>макс.значение вес. коэффициента</t>
  </si>
  <si>
    <t>Рейтинг по 1 направлению</t>
  </si>
  <si>
    <t>Место по 1 направлению</t>
  </si>
  <si>
    <t>2.1. Темпы прироста численности населения, *</t>
  </si>
  <si>
    <t>2.2. Уровень роста (снижения) участия поселения в культурно- досуговых и спортивных мероприятиях в соответствие с Перечнем, утвержденным администрацией Пермского муниципального района,*</t>
  </si>
  <si>
    <t>2.3. Соблюдение размера среднемесячной заработной платы работников муниципальных учреждений культуры, физической культуры и спорта, предусмотренных Указами Президента,**</t>
  </si>
  <si>
    <t>2.4. Темпы роста (снижения) количества детей, находящихся в социально опасном положении,***</t>
  </si>
  <si>
    <t>2.5. Доля несовершеннолетних от 7 до 17 лет, находящихся в группе риска СОП, СОП, вовлеченных в различные виды занятости, досуга, спорта в учреждениях культуры и спорта,*</t>
  </si>
  <si>
    <t>2.6. Доля объектов культуры и спорта, административных объектов, находящихся в собственности поселения, доступных для маломобильных групп населения,*</t>
  </si>
  <si>
    <t>Рейтинг по 2 направлению</t>
  </si>
  <si>
    <t>Место по 2 направлению</t>
  </si>
  <si>
    <t xml:space="preserve">3.1. Доля площади земли сельского поселения, занятых несанкционированными свалками на территории сельского поселени,***                                                 </t>
  </si>
  <si>
    <t>3.2. Объем задолженности за топливно-энергетические ресурсы в расчете на одного жителя,***</t>
  </si>
  <si>
    <t>3.3. Уровень собираемости взносов на капитальный ремонт, *</t>
  </si>
  <si>
    <t>3.4 Оценка деятельности сельского поселения по благоустройству, уборке и озеленению территорий сельских поселений,*</t>
  </si>
  <si>
    <t>Рейтинг по 3 направлению</t>
  </si>
  <si>
    <t>Место по 3 направлению</t>
  </si>
  <si>
    <t>4.1. Размещение программ комплексного развития социальной, инженерной и транспортной инфра структуры в актуальной редакции в установленные действующим законодательством сроки в государственной информационной системе документов территориального планирования*</t>
  </si>
  <si>
    <t>4.2. Размещение сведений в федеральной информационной адресной системе в установленные действующим законодательством сроки,*</t>
  </si>
  <si>
    <t xml:space="preserve">4.3. Доля документов, направленных для осуществления государственного кадастрового учета и государственной регистрации прав исключительно в электронном виде, *  </t>
  </si>
  <si>
    <t>4.4 Доля земельных участков с границами, установленными в соответствии с требованиями законодательства Российской Федерации, и объектов капитального строительства с установленным (уточненным) местоположением на земельных участках, находящихся в муниципальной собственности, в общем количестве земельных участков и объектов капитального строительства, находящихся муниципальной собственности</t>
  </si>
  <si>
    <t>4.5 Оформление права муниципальной собственности на бесхозяйные недвижимые объекты по истечении года со дня их постановки на учет органом, осуществляющим государственную регистрацию права на недвижимое имущество</t>
  </si>
  <si>
    <t>Рейтинг по 4 направлению</t>
  </si>
  <si>
    <t>Место по 4 направлению</t>
  </si>
  <si>
    <t>5.1. Исполнительская дисциплина</t>
  </si>
  <si>
    <t>5.2 Удовлетворенность населения деятельностью администрации сельского поселения</t>
  </si>
  <si>
    <t xml:space="preserve">5.3. Оценка степени доступности информации о деятельности органов местного самоуправления поселения в сети «интернет» на официальных сайтах органов местного самоуправления в соответствии с требованиями Федерального закона от 09.02.2009 № 8-ФЗ «Об обеспечении доступа к информации о деятельности 
государственных органов и органов местного самоуправления» (публикация информации по состоянию на 1 марта года следующего за отчетным)
</t>
  </si>
  <si>
    <t xml:space="preserve"> 5.4. Размещение на официальном сайте органа местного самоуправления решения о бюджете (публикация информации по состоянию на 1 марта года следующего за отчетным)*    </t>
  </si>
  <si>
    <t>5.5. Размещение на официальном сайте органа местного самоуправления основных параметров местного бюджета в формате «Бюджет для граждан» (публикация информации по состоянию на 1 марта года следующего за отчетным)</t>
  </si>
  <si>
    <t>5.6. Количество созданных территориальных общественных самоуправлений               (ТОС)</t>
  </si>
  <si>
    <t>5.7. Соблюдение порядка и условий представления проекта решения о бюджете, установленным нормативным правовым актом (Положением о бюджетном процессе) сельского поселения (в соответствии с бюджетным законодательством),***</t>
  </si>
  <si>
    <t>5.8. Прирост количества субъектов малого предпринимательства</t>
  </si>
  <si>
    <t>5.9. Количество составленных протоколов об административных правонарушениях, *</t>
  </si>
  <si>
    <t>5.10. Количество лиц, привлеченных к административной ответственности, *</t>
  </si>
  <si>
    <t>5.11 Доля решенных проблем, поступивших в обращениях на портале «Управляем вместе»,*</t>
  </si>
  <si>
    <t>5.12 Качество работы с обращениями граждан, поступающих через портал «Управляем вместе»,*</t>
  </si>
  <si>
    <t>5.13. Определение в правилах благоустройства территории поселения требований к внешнему виду нестационарных торговых объектов</t>
  </si>
  <si>
    <t>5.14 Оказание имущественной поддержки субъектов малого и среднего предпринимательства</t>
  </si>
  <si>
    <t>Рейтинг по 5 направлению</t>
  </si>
  <si>
    <t>Место по 5 направлению</t>
  </si>
  <si>
    <t>6.1. Доля исправных источников противопожарного водоснабжения,*</t>
  </si>
  <si>
    <t>6.2. Темпы роста (снижения) уровня преступности,***</t>
  </si>
  <si>
    <t>6.3. Исполнение плана по постановке граждан на первичный воинский учёт ,*</t>
  </si>
  <si>
    <t>6.4. Количество пожаров на территории поселения в черте населенного пункта,***</t>
  </si>
  <si>
    <t>6.5. Количество погибших на пожарах в черте населенного пункта</t>
  </si>
  <si>
    <t>Рейтинг по 6 направлению</t>
  </si>
  <si>
    <t>Место по 6 направлению</t>
  </si>
  <si>
    <t xml:space="preserve">Итоговая сумма рейтинга      </t>
  </si>
  <si>
    <t>Место территорий                                         по итоговому рейтингу</t>
  </si>
  <si>
    <t>Место территорий                                         по итоговому рейтингу с учетом дисквалификации</t>
  </si>
  <si>
    <t>Факт на 01.01.20,     тыс. руб.  в сопоставимых условиях 2020</t>
  </si>
  <si>
    <t>Факт на 01.01.21,    тыс. руб.</t>
  </si>
  <si>
    <t>%</t>
  </si>
  <si>
    <t>место</t>
  </si>
  <si>
    <t>весовой коэффициент</t>
  </si>
  <si>
    <t>План 2020г.,   тыс. руб.</t>
  </si>
  <si>
    <t>Факт 2020г,   тыс. руб.</t>
  </si>
  <si>
    <t>Объем федеральных и краевых средств, привлеченных поселением на софинансирование, тыс. руб.</t>
  </si>
  <si>
    <t>Численность, чел.</t>
  </si>
  <si>
    <t>на 1 жителя, тыс. руб.</t>
  </si>
  <si>
    <t>План  2020,  тыс. руб.</t>
  </si>
  <si>
    <t>Факт 2020,  тыс. руб.</t>
  </si>
  <si>
    <t xml:space="preserve"> </t>
  </si>
  <si>
    <t xml:space="preserve">Факт.расх. (без учета субвенций и иных МБТ, имеющих целевое назначение),   тыс. руб. </t>
  </si>
  <si>
    <t>Расх.на сод. орг.местн.самоуправлен., тыс. руб.</t>
  </si>
  <si>
    <t xml:space="preserve">Общий объем расходов,    тыс. руб. </t>
  </si>
  <si>
    <t>Расходы бюджета развития,  тыс. руб.</t>
  </si>
  <si>
    <t xml:space="preserve">Кредит. задолжен., тыс. руб. </t>
  </si>
  <si>
    <t>Годовой план по расходам бюджета,   тыс. руб.</t>
  </si>
  <si>
    <t>Cредняя величина фактического объема невыясненных поступлений 2020,тыс. руб.</t>
  </si>
  <si>
    <t>Фактический объем налоговых и неналоговых доходов за 2020,   тыс. руб.</t>
  </si>
  <si>
    <t>Численность на 01.01.2020, чел.</t>
  </si>
  <si>
    <t>Численность   на 01.01.2021, чел.</t>
  </si>
  <si>
    <t>Кол-во мероприятийв которых поселения принимали участие</t>
  </si>
  <si>
    <t>Фонд начисленной з/пл работников мун. учрежд. культуры,      тыс. руб.</t>
  </si>
  <si>
    <t>Среднесписочная численность работников</t>
  </si>
  <si>
    <t>Среднемесячная з/п, руб.</t>
  </si>
  <si>
    <t>Отклонение з/пл. от з/пл. установленной в дор. карте (33717,0 руб.),%</t>
  </si>
  <si>
    <t>Количество детей, находящихся в социально опасном положении в отчетном периоде</t>
  </si>
  <si>
    <t>Количество детей, находящихся в социально опасном положении в базисном периоде</t>
  </si>
  <si>
    <t>Кол. несовершеннолетних, наход. В группе рмска,  трудоустроенных администрацией с/п</t>
  </si>
  <si>
    <t xml:space="preserve">Общее количество несовершеннолетних от 7 до 17 лет в гркппе риска СОП </t>
  </si>
  <si>
    <t xml:space="preserve">% </t>
  </si>
  <si>
    <t>Количество объектов культуры и спорта, административных объектов доступных для маломобильных групп</t>
  </si>
  <si>
    <t>Общее количество объектов культуры и спорта, административных объектов, находящихся в собственности поселения</t>
  </si>
  <si>
    <t>начислено (тыс.руб.)</t>
  </si>
  <si>
    <t>оплачено (тыс.руб.)</t>
  </si>
  <si>
    <t>Сумма зад-ти по пустующему мун-му жилью,       тыс. руб</t>
  </si>
  <si>
    <t>Оценка</t>
  </si>
  <si>
    <t xml:space="preserve">колическво размещенных документов </t>
  </si>
  <si>
    <t>коэффициент размещения</t>
  </si>
  <si>
    <t>размещение сведений в срок (1-в срок, 0- не всрок)</t>
  </si>
  <si>
    <t>Общее количество документов</t>
  </si>
  <si>
    <t>Количество документов о постановке на государственный кадастровый учет и государственной регистрации прав, поданных в форме электронного документа</t>
  </si>
  <si>
    <t>Общее коллическто зем уч.</t>
  </si>
  <si>
    <t>Общее коллическто зем уч. С уточненным местоположением</t>
  </si>
  <si>
    <t>общее количесто</t>
  </si>
  <si>
    <t>количесто</t>
  </si>
  <si>
    <t>Кол-во полной, достоверной и в срок сданной отчетности</t>
  </si>
  <si>
    <t>Количество отчетов всего</t>
  </si>
  <si>
    <t>Процент от числа опрошенных</t>
  </si>
  <si>
    <t>Количество доступной информации о деятельности органов местного самоуправления в сети "интернет", баллы</t>
  </si>
  <si>
    <t>Размешение на официальном сайте решение о бюджете</t>
  </si>
  <si>
    <t>Размещение на официальном сайте ОМС основных параметров местного бюджета в формате "Бюджет для граждан"</t>
  </si>
  <si>
    <t>Количество созданных территориальных общественных самоуправлений (ТОС)</t>
  </si>
  <si>
    <t>Кол. не представленных документов и материалов, прилагаемых к проекту решения о бюджете</t>
  </si>
  <si>
    <t>Кол. документов и материалов прилагаемых к проекту решения о бюджете</t>
  </si>
  <si>
    <t>Количество СМП на 1000 чел. населения в базисном периоде,   ед.</t>
  </si>
  <si>
    <t>Количество СМП на 1000 чел. населения в отчетном периоде, ед.</t>
  </si>
  <si>
    <t>Количество составленных протоколов всего за 2020 год, ед.</t>
  </si>
  <si>
    <t>Количество составленных протоколов на 1000 жителей, ед.</t>
  </si>
  <si>
    <t>Количество лиц, привлеченных к адм. отв-ти всего за 2020 год, ед.</t>
  </si>
  <si>
    <t>Количество лиц, привлеченных к адм. отв-ти на 1000 жителей соответствующего сп ПМР</t>
  </si>
  <si>
    <t>Доля решенных проблем</t>
  </si>
  <si>
    <t>Качество работы, ед</t>
  </si>
  <si>
    <t>Кол-во источников, готовых к забору воды</t>
  </si>
  <si>
    <t>Общее кол-во источников наружного противопожарного водоснабжения</t>
  </si>
  <si>
    <t>Уровень преступности на 1000 чел. в базисном периоде</t>
  </si>
  <si>
    <t>Уровень преступности на 1000 чел. в отчетном периоде</t>
  </si>
  <si>
    <t>План</t>
  </si>
  <si>
    <t>Факт</t>
  </si>
  <si>
    <t>Количество пожаров на территории поселения в черте населенного пункта</t>
  </si>
  <si>
    <t>Количество пожаров на 1000 жителей</t>
  </si>
  <si>
    <t xml:space="preserve">Количество погибших на пожарах </t>
  </si>
  <si>
    <t>Кол-во погибших на 1000 человек</t>
  </si>
  <si>
    <t>Бершетское</t>
  </si>
  <si>
    <t xml:space="preserve"> -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</si>
  <si>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</si>
  <si>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</si>
  <si>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</si>
  <si>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</si>
  <si>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</si>
  <si>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</si>
  <si>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</si>
  <si>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</si>
  <si>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</si>
  <si>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 xml:space="preserve"> - </t>
  </si>
  <si>
    <t>Савинское</t>
  </si>
  <si>
    <t>Сылвенское</t>
  </si>
  <si>
    <t>Усть-Качкинское</t>
  </si>
  <si>
    <t>Фроловское</t>
  </si>
  <si>
    <t>Хохловское</t>
  </si>
  <si>
    <t>Юговское</t>
  </si>
  <si>
    <t>Юго-Камское</t>
  </si>
  <si>
    <t>Итого</t>
  </si>
  <si>
    <t xml:space="preserve">* нецелевого и(или) незаконного расходования с/п бюджетных средств более одного миллиона руб., выявленного за отчетный финансовый год, </t>
  </si>
  <si>
    <t>не позднее даты подведения итогов конкурса.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</si>
</sst>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0000"/>
    <numFmt numFmtId="167" formatCode="0.000000"/>
    <numFmt numFmtId="168" formatCode="0.00000000"/>
    <numFmt numFmtId="169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E3B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0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0" fontId="2" fillId="2" borderId="0" xfId="0" applyFont="1" applyFill="1" applyAlignment="1"/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/>
    <xf numFmtId="0" fontId="3" fillId="2" borderId="0" xfId="0" applyFont="1" applyFill="1"/>
    <xf numFmtId="0" fontId="7" fillId="0" borderId="0" xfId="0" applyFont="1" applyFill="1" applyAlignment="1">
      <alignment vertical="top" wrapText="1"/>
    </xf>
    <xf numFmtId="0" fontId="6" fillId="0" borderId="0" xfId="0" applyFont="1" applyFill="1"/>
    <xf numFmtId="0" fontId="7" fillId="0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2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6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2" borderId="2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9" fillId="3" borderId="5" xfId="0" applyFont="1" applyFill="1" applyBorder="1" applyAlignment="1">
      <alignment vertical="top" wrapText="1"/>
    </xf>
    <xf numFmtId="0" fontId="9" fillId="4" borderId="6" xfId="0" applyFont="1" applyFill="1" applyBorder="1" applyAlignment="1">
      <alignment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center" vertical="top"/>
    </xf>
    <xf numFmtId="0" fontId="10" fillId="4" borderId="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3" fillId="5" borderId="10" xfId="0" applyFont="1" applyFill="1" applyBorder="1"/>
    <xf numFmtId="0" fontId="5" fillId="5" borderId="11" xfId="0" applyFont="1" applyFill="1" applyBorder="1"/>
    <xf numFmtId="0" fontId="11" fillId="3" borderId="12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vertical="top" wrapText="1"/>
    </xf>
    <xf numFmtId="0" fontId="12" fillId="4" borderId="14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2" fillId="6" borderId="18" xfId="0" applyFont="1" applyFill="1" applyBorder="1" applyAlignment="1">
      <alignment horizontal="center" vertical="top" wrapText="1"/>
    </xf>
    <xf numFmtId="49" fontId="13" fillId="6" borderId="13" xfId="0" applyNumberFormat="1" applyFont="1" applyFill="1" applyBorder="1" applyAlignment="1">
      <alignment horizontal="center" textRotation="90"/>
    </xf>
    <xf numFmtId="49" fontId="13" fillId="6" borderId="19" xfId="0" applyNumberFormat="1" applyFont="1" applyFill="1" applyBorder="1" applyAlignment="1">
      <alignment horizontal="center" textRotation="90" wrapText="1"/>
    </xf>
    <xf numFmtId="49" fontId="13" fillId="6" borderId="13" xfId="0" applyNumberFormat="1" applyFont="1" applyFill="1" applyBorder="1" applyAlignment="1">
      <alignment horizontal="center" vertical="center" textRotation="90" wrapText="1"/>
    </xf>
    <xf numFmtId="49" fontId="13" fillId="6" borderId="19" xfId="0" applyNumberFormat="1" applyFont="1" applyFill="1" applyBorder="1" applyAlignment="1">
      <alignment horizontal="center" vertical="center" textRotation="90" wrapText="1"/>
    </xf>
    <xf numFmtId="0" fontId="12" fillId="6" borderId="20" xfId="0" applyFont="1" applyFill="1" applyBorder="1" applyAlignment="1">
      <alignment horizontal="center" vertical="top" wrapText="1"/>
    </xf>
    <xf numFmtId="49" fontId="13" fillId="6" borderId="14" xfId="0" applyNumberFormat="1" applyFont="1" applyFill="1" applyBorder="1" applyAlignment="1">
      <alignment horizontal="center" vertical="center" textRotation="90" wrapText="1"/>
    </xf>
    <xf numFmtId="0" fontId="12" fillId="4" borderId="21" xfId="0" applyFont="1" applyFill="1" applyBorder="1" applyAlignment="1">
      <alignment horizontal="center" vertical="top" wrapText="1"/>
    </xf>
    <xf numFmtId="0" fontId="12" fillId="4" borderId="22" xfId="0" applyFont="1" applyFill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horizontal="center" vertical="top" wrapText="1"/>
    </xf>
    <xf numFmtId="0" fontId="12" fillId="6" borderId="18" xfId="0" applyFont="1" applyFill="1" applyBorder="1" applyAlignment="1">
      <alignment horizontal="center" vertical="center" wrapText="1"/>
    </xf>
    <xf numFmtId="49" fontId="13" fillId="6" borderId="13" xfId="0" applyNumberFormat="1" applyFont="1" applyFill="1" applyBorder="1" applyAlignment="1">
      <alignment vertical="center" textRotation="90" wrapText="1"/>
    </xf>
    <xf numFmtId="0" fontId="14" fillId="4" borderId="15" xfId="0" applyFont="1" applyFill="1" applyBorder="1" applyAlignment="1">
      <alignment horizontal="center" vertical="top" wrapText="1"/>
    </xf>
    <xf numFmtId="0" fontId="14" fillId="4" borderId="16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center" vertical="top" wrapText="1"/>
    </xf>
    <xf numFmtId="0" fontId="13" fillId="6" borderId="20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49" fontId="13" fillId="5" borderId="18" xfId="0" applyNumberFormat="1" applyFont="1" applyFill="1" applyBorder="1" applyAlignment="1">
      <alignment horizontal="center" vertical="center" textRotation="90" wrapText="1"/>
    </xf>
    <xf numFmtId="0" fontId="13" fillId="5" borderId="13" xfId="0" applyFont="1" applyFill="1" applyBorder="1" applyAlignment="1">
      <alignment horizontal="center" vertical="center" textRotation="90" wrapText="1"/>
    </xf>
    <xf numFmtId="0" fontId="12" fillId="0" borderId="0" xfId="0" applyFont="1" applyFill="1" applyAlignment="1">
      <alignment vertical="top"/>
    </xf>
    <xf numFmtId="0" fontId="3" fillId="0" borderId="25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center" textRotation="90"/>
    </xf>
    <xf numFmtId="0" fontId="3" fillId="0" borderId="28" xfId="0" applyFont="1" applyFill="1" applyBorder="1" applyAlignment="1">
      <alignment horizontal="center" vertical="top" wrapText="1"/>
    </xf>
    <xf numFmtId="9" fontId="3" fillId="0" borderId="2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5" fillId="0" borderId="27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2" fontId="3" fillId="0" borderId="27" xfId="0" applyNumberFormat="1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textRotation="90"/>
    </xf>
    <xf numFmtId="0" fontId="3" fillId="0" borderId="1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center" vertical="center" textRotation="90"/>
    </xf>
    <xf numFmtId="0" fontId="3" fillId="0" borderId="32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6" fillId="0" borderId="25" xfId="0" applyFont="1" applyFill="1" applyBorder="1" applyAlignment="1">
      <alignment horizontal="center" vertical="top"/>
    </xf>
    <xf numFmtId="0" fontId="16" fillId="0" borderId="25" xfId="0" applyFont="1" applyFill="1" applyBorder="1" applyAlignment="1">
      <alignment horizontal="center" vertical="top" wrapText="1"/>
    </xf>
    <xf numFmtId="0" fontId="16" fillId="0" borderId="28" xfId="0" applyFont="1" applyFill="1" applyBorder="1" applyAlignment="1">
      <alignment horizontal="center" vertical="top" wrapText="1"/>
    </xf>
    <xf numFmtId="0" fontId="16" fillId="0" borderId="29" xfId="0" applyFont="1" applyFill="1" applyBorder="1" applyAlignment="1">
      <alignment horizontal="center" vertical="top"/>
    </xf>
    <xf numFmtId="0" fontId="16" fillId="0" borderId="28" xfId="0" applyFont="1" applyFill="1" applyBorder="1" applyAlignment="1">
      <alignment horizontal="center" vertical="top"/>
    </xf>
    <xf numFmtId="0" fontId="16" fillId="0" borderId="29" xfId="0" applyFont="1" applyFill="1" applyBorder="1" applyAlignment="1">
      <alignment horizontal="center" vertical="top" wrapText="1"/>
    </xf>
    <xf numFmtId="0" fontId="16" fillId="2" borderId="0" xfId="0" applyFont="1" applyFill="1"/>
    <xf numFmtId="0" fontId="3" fillId="0" borderId="25" xfId="0" applyFont="1" applyFill="1" applyBorder="1" applyAlignment="1">
      <alignment horizontal="center"/>
    </xf>
    <xf numFmtId="0" fontId="12" fillId="0" borderId="26" xfId="0" applyFont="1" applyFill="1" applyBorder="1"/>
    <xf numFmtId="4" fontId="12" fillId="0" borderId="25" xfId="0" applyNumberFormat="1" applyFont="1" applyFill="1" applyBorder="1" applyAlignment="1" applyProtection="1">
      <alignment horizontal="right" vertical="center" wrapText="1"/>
    </xf>
    <xf numFmtId="2" fontId="3" fillId="0" borderId="25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2" fontId="3" fillId="0" borderId="28" xfId="0" applyNumberFormat="1" applyFont="1" applyFill="1" applyBorder="1" applyAlignment="1">
      <alignment horizontal="center"/>
    </xf>
    <xf numFmtId="4" fontId="3" fillId="0" borderId="27" xfId="2" applyNumberFormat="1" applyFont="1" applyFill="1" applyBorder="1" applyAlignment="1">
      <alignment horizontal="center" vertical="center" wrapText="1"/>
    </xf>
    <xf numFmtId="4" fontId="3" fillId="0" borderId="25" xfId="3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/>
    </xf>
    <xf numFmtId="166" fontId="3" fillId="0" borderId="27" xfId="0" applyNumberFormat="1" applyFont="1" applyFill="1" applyBorder="1" applyAlignment="1">
      <alignment horizontal="center"/>
    </xf>
    <xf numFmtId="167" fontId="3" fillId="0" borderId="25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67" fontId="3" fillId="0" borderId="27" xfId="0" applyNumberFormat="1" applyFont="1" applyFill="1" applyBorder="1" applyAlignment="1">
      <alignment horizontal="center"/>
    </xf>
    <xf numFmtId="168" fontId="3" fillId="0" borderId="25" xfId="0" applyNumberFormat="1" applyFont="1" applyFill="1" applyBorder="1" applyAlignment="1">
      <alignment horizontal="center"/>
    </xf>
    <xf numFmtId="2" fontId="3" fillId="0" borderId="29" xfId="0" applyNumberFormat="1" applyFont="1" applyFill="1" applyBorder="1" applyAlignment="1">
      <alignment horizontal="center"/>
    </xf>
    <xf numFmtId="164" fontId="6" fillId="0" borderId="25" xfId="0" applyNumberFormat="1" applyFont="1" applyFill="1" applyBorder="1" applyAlignment="1">
      <alignment horizontal="center"/>
    </xf>
    <xf numFmtId="1" fontId="6" fillId="0" borderId="26" xfId="0" applyNumberFormat="1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164" fontId="3" fillId="0" borderId="25" xfId="1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>
      <alignment horizontal="center" vertical="center"/>
    </xf>
    <xf numFmtId="1" fontId="3" fillId="0" borderId="33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64" fontId="18" fillId="0" borderId="25" xfId="0" applyNumberFormat="1" applyFont="1" applyFill="1" applyBorder="1" applyAlignment="1">
      <alignment horizontal="center" vertical="center"/>
    </xf>
    <xf numFmtId="1" fontId="8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" fontId="6" fillId="0" borderId="28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right"/>
    </xf>
    <xf numFmtId="2" fontId="3" fillId="0" borderId="25" xfId="0" applyNumberFormat="1" applyFont="1" applyFill="1" applyBorder="1" applyAlignment="1">
      <alignment horizontal="right"/>
    </xf>
    <xf numFmtId="169" fontId="3" fillId="0" borderId="25" xfId="0" applyNumberFormat="1" applyFont="1" applyFill="1" applyBorder="1" applyAlignment="1">
      <alignment horizontal="center"/>
    </xf>
    <xf numFmtId="169" fontId="3" fillId="0" borderId="27" xfId="0" applyNumberFormat="1" applyFont="1" applyFill="1" applyBorder="1" applyAlignment="1">
      <alignment horizontal="center"/>
    </xf>
    <xf numFmtId="2" fontId="3" fillId="0" borderId="29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164" fontId="14" fillId="0" borderId="25" xfId="0" applyNumberFormat="1" applyFont="1" applyFill="1" applyBorder="1" applyAlignment="1">
      <alignment horizontal="center" vertical="center"/>
    </xf>
    <xf numFmtId="1" fontId="8" fillId="0" borderId="25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165" fontId="3" fillId="0" borderId="29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12" fillId="7" borderId="26" xfId="0" applyFont="1" applyFill="1" applyBorder="1"/>
    <xf numFmtId="4" fontId="12" fillId="7" borderId="25" xfId="0" applyNumberFormat="1" applyFont="1" applyFill="1" applyBorder="1" applyAlignment="1" applyProtection="1">
      <alignment horizontal="right" vertical="center" wrapText="1"/>
    </xf>
    <xf numFmtId="2" fontId="3" fillId="7" borderId="25" xfId="0" applyNumberFormat="1" applyFont="1" applyFill="1" applyBorder="1" applyAlignment="1">
      <alignment horizontal="center"/>
    </xf>
    <xf numFmtId="1" fontId="6" fillId="7" borderId="25" xfId="0" applyNumberFormat="1" applyFont="1" applyFill="1" applyBorder="1" applyAlignment="1">
      <alignment horizontal="center"/>
    </xf>
    <xf numFmtId="2" fontId="3" fillId="7" borderId="28" xfId="0" applyNumberFormat="1" applyFont="1" applyFill="1" applyBorder="1" applyAlignment="1">
      <alignment horizontal="center"/>
    </xf>
    <xf numFmtId="4" fontId="3" fillId="7" borderId="27" xfId="2" applyNumberFormat="1" applyFont="1" applyFill="1" applyBorder="1" applyAlignment="1">
      <alignment horizontal="center" vertical="center" wrapText="1"/>
    </xf>
    <xf numFmtId="4" fontId="3" fillId="7" borderId="25" xfId="3" applyNumberFormat="1" applyFont="1" applyFill="1" applyBorder="1" applyAlignment="1">
      <alignment horizontal="center" vertical="center" wrapText="1"/>
    </xf>
    <xf numFmtId="2" fontId="3" fillId="7" borderId="25" xfId="0" applyNumberFormat="1" applyFont="1" applyFill="1" applyBorder="1" applyAlignment="1">
      <alignment horizontal="center" vertical="center"/>
    </xf>
    <xf numFmtId="1" fontId="6" fillId="7" borderId="25" xfId="0" applyNumberFormat="1" applyFont="1" applyFill="1" applyBorder="1" applyAlignment="1">
      <alignment horizontal="center" vertical="center"/>
    </xf>
    <xf numFmtId="164" fontId="3" fillId="7" borderId="28" xfId="0" applyNumberFormat="1" applyFont="1" applyFill="1" applyBorder="1" applyAlignment="1">
      <alignment horizontal="center" vertical="center"/>
    </xf>
    <xf numFmtId="4" fontId="3" fillId="7" borderId="27" xfId="0" applyNumberFormat="1" applyFont="1" applyFill="1" applyBorder="1" applyAlignment="1">
      <alignment horizontal="center" vertical="center"/>
    </xf>
    <xf numFmtId="3" fontId="3" fillId="7" borderId="25" xfId="0" applyNumberFormat="1" applyFont="1" applyFill="1" applyBorder="1" applyAlignment="1">
      <alignment horizontal="center" vertical="center"/>
    </xf>
    <xf numFmtId="165" fontId="3" fillId="7" borderId="25" xfId="0" applyNumberFormat="1" applyFont="1" applyFill="1" applyBorder="1" applyAlignment="1">
      <alignment horizontal="center" vertical="center"/>
    </xf>
    <xf numFmtId="4" fontId="3" fillId="7" borderId="25" xfId="0" applyNumberFormat="1" applyFont="1" applyFill="1" applyBorder="1" applyAlignment="1">
      <alignment horizontal="center" vertical="center"/>
    </xf>
    <xf numFmtId="4" fontId="3" fillId="7" borderId="27" xfId="0" applyNumberFormat="1" applyFont="1" applyFill="1" applyBorder="1" applyAlignment="1">
      <alignment horizontal="center"/>
    </xf>
    <xf numFmtId="4" fontId="3" fillId="7" borderId="25" xfId="0" applyNumberFormat="1" applyFont="1" applyFill="1" applyBorder="1" applyAlignment="1">
      <alignment horizontal="center"/>
    </xf>
    <xf numFmtId="166" fontId="3" fillId="7" borderId="27" xfId="0" applyNumberFormat="1" applyFont="1" applyFill="1" applyBorder="1" applyAlignment="1">
      <alignment horizontal="center"/>
    </xf>
    <xf numFmtId="167" fontId="3" fillId="7" borderId="25" xfId="0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167" fontId="3" fillId="7" borderId="27" xfId="0" applyNumberFormat="1" applyFont="1" applyFill="1" applyBorder="1" applyAlignment="1">
      <alignment horizontal="center"/>
    </xf>
    <xf numFmtId="168" fontId="3" fillId="7" borderId="25" xfId="0" applyNumberFormat="1" applyFont="1" applyFill="1" applyBorder="1" applyAlignment="1">
      <alignment horizontal="center"/>
    </xf>
    <xf numFmtId="2" fontId="3" fillId="7" borderId="29" xfId="0" applyNumberFormat="1" applyFont="1" applyFill="1" applyBorder="1" applyAlignment="1">
      <alignment horizontal="center"/>
    </xf>
    <xf numFmtId="164" fontId="6" fillId="7" borderId="25" xfId="0" applyNumberFormat="1" applyFont="1" applyFill="1" applyBorder="1" applyAlignment="1">
      <alignment horizontal="center"/>
    </xf>
    <xf numFmtId="1" fontId="6" fillId="7" borderId="26" xfId="0" applyNumberFormat="1" applyFont="1" applyFill="1" applyBorder="1" applyAlignment="1">
      <alignment horizontal="center"/>
    </xf>
    <xf numFmtId="3" fontId="3" fillId="7" borderId="27" xfId="0" applyNumberFormat="1" applyFont="1" applyFill="1" applyBorder="1" applyAlignment="1">
      <alignment horizontal="center" vertical="center"/>
    </xf>
    <xf numFmtId="2" fontId="3" fillId="7" borderId="28" xfId="0" applyNumberFormat="1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/>
    </xf>
    <xf numFmtId="164" fontId="3" fillId="7" borderId="25" xfId="1" applyNumberFormat="1" applyFont="1" applyFill="1" applyBorder="1" applyAlignment="1">
      <alignment horizontal="center"/>
    </xf>
    <xf numFmtId="164" fontId="3" fillId="7" borderId="25" xfId="0" applyNumberFormat="1" applyFont="1" applyFill="1" applyBorder="1" applyAlignment="1">
      <alignment horizontal="center" vertical="center"/>
    </xf>
    <xf numFmtId="1" fontId="3" fillId="7" borderId="33" xfId="0" applyNumberFormat="1" applyFont="1" applyFill="1" applyBorder="1" applyAlignment="1">
      <alignment horizontal="center" vertical="center"/>
    </xf>
    <xf numFmtId="1" fontId="3" fillId="7" borderId="25" xfId="0" applyNumberFormat="1" applyFont="1" applyFill="1" applyBorder="1" applyAlignment="1">
      <alignment horizontal="center" vertical="center"/>
    </xf>
    <xf numFmtId="164" fontId="18" fillId="7" borderId="25" xfId="0" applyNumberFormat="1" applyFont="1" applyFill="1" applyBorder="1" applyAlignment="1">
      <alignment horizontal="center" vertical="center"/>
    </xf>
    <xf numFmtId="1" fontId="8" fillId="7" borderId="25" xfId="0" applyNumberFormat="1" applyFont="1" applyFill="1" applyBorder="1" applyAlignment="1">
      <alignment horizontal="center" vertical="center"/>
    </xf>
    <xf numFmtId="1" fontId="3" fillId="7" borderId="27" xfId="0" applyNumberFormat="1" applyFont="1" applyFill="1" applyBorder="1" applyAlignment="1">
      <alignment horizontal="center" vertical="center"/>
    </xf>
    <xf numFmtId="164" fontId="3" fillId="7" borderId="27" xfId="0" applyNumberFormat="1" applyFont="1" applyFill="1" applyBorder="1" applyAlignment="1">
      <alignment horizontal="center" vertical="center"/>
    </xf>
    <xf numFmtId="1" fontId="6" fillId="7" borderId="28" xfId="0" applyNumberFormat="1" applyFont="1" applyFill="1" applyBorder="1" applyAlignment="1">
      <alignment horizontal="center"/>
    </xf>
    <xf numFmtId="2" fontId="3" fillId="7" borderId="27" xfId="0" applyNumberFormat="1" applyFont="1" applyFill="1" applyBorder="1" applyAlignment="1">
      <alignment horizontal="right"/>
    </xf>
    <xf numFmtId="2" fontId="3" fillId="7" borderId="25" xfId="0" applyNumberFormat="1" applyFont="1" applyFill="1" applyBorder="1" applyAlignment="1">
      <alignment horizontal="right"/>
    </xf>
    <xf numFmtId="169" fontId="3" fillId="7" borderId="25" xfId="0" applyNumberFormat="1" applyFont="1" applyFill="1" applyBorder="1" applyAlignment="1">
      <alignment horizontal="center"/>
    </xf>
    <xf numFmtId="169" fontId="3" fillId="7" borderId="27" xfId="0" applyNumberFormat="1" applyFont="1" applyFill="1" applyBorder="1" applyAlignment="1">
      <alignment horizontal="center"/>
    </xf>
    <xf numFmtId="2" fontId="3" fillId="7" borderId="29" xfId="0" applyNumberFormat="1" applyFont="1" applyFill="1" applyBorder="1" applyAlignment="1">
      <alignment horizontal="center" vertical="center"/>
    </xf>
    <xf numFmtId="1" fontId="3" fillId="7" borderId="29" xfId="0" applyNumberFormat="1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wrapText="1"/>
    </xf>
    <xf numFmtId="0" fontId="12" fillId="7" borderId="25" xfId="0" applyFont="1" applyFill="1" applyBorder="1" applyAlignment="1">
      <alignment horizontal="center" wrapText="1"/>
    </xf>
    <xf numFmtId="164" fontId="14" fillId="7" borderId="25" xfId="0" applyNumberFormat="1" applyFont="1" applyFill="1" applyBorder="1" applyAlignment="1">
      <alignment horizontal="center" vertical="center"/>
    </xf>
    <xf numFmtId="1" fontId="8" fillId="7" borderId="25" xfId="0" applyNumberFormat="1" applyFont="1" applyFill="1" applyBorder="1" applyAlignment="1">
      <alignment horizontal="center"/>
    </xf>
    <xf numFmtId="2" fontId="3" fillId="7" borderId="26" xfId="0" applyNumberFormat="1" applyFont="1" applyFill="1" applyBorder="1" applyAlignment="1">
      <alignment horizontal="center" vertical="center"/>
    </xf>
    <xf numFmtId="2" fontId="3" fillId="7" borderId="27" xfId="0" applyNumberFormat="1" applyFont="1" applyFill="1" applyBorder="1" applyAlignment="1">
      <alignment horizontal="center" vertical="center"/>
    </xf>
    <xf numFmtId="2" fontId="6" fillId="7" borderId="29" xfId="0" applyNumberFormat="1" applyFont="1" applyFill="1" applyBorder="1" applyAlignment="1">
      <alignment horizontal="center" vertical="center"/>
    </xf>
    <xf numFmtId="164" fontId="3" fillId="7" borderId="25" xfId="0" applyNumberFormat="1" applyFont="1" applyFill="1" applyBorder="1" applyAlignment="1">
      <alignment horizontal="center"/>
    </xf>
    <xf numFmtId="164" fontId="3" fillId="7" borderId="26" xfId="0" applyNumberFormat="1" applyFont="1" applyFill="1" applyBorder="1" applyAlignment="1">
      <alignment horizontal="center"/>
    </xf>
    <xf numFmtId="2" fontId="3" fillId="7" borderId="27" xfId="0" applyNumberFormat="1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164" fontId="3" fillId="7" borderId="26" xfId="0" applyNumberFormat="1" applyFont="1" applyFill="1" applyBorder="1" applyAlignment="1">
      <alignment horizontal="center" vertical="center"/>
    </xf>
    <xf numFmtId="165" fontId="3" fillId="7" borderId="29" xfId="0" applyNumberFormat="1" applyFont="1" applyFill="1" applyBorder="1" applyAlignment="1">
      <alignment horizontal="center" vertical="center"/>
    </xf>
    <xf numFmtId="164" fontId="6" fillId="7" borderId="27" xfId="0" applyNumberFormat="1" applyFont="1" applyFill="1" applyBorder="1" applyAlignment="1">
      <alignment horizontal="center" vertical="center"/>
    </xf>
    <xf numFmtId="2" fontId="4" fillId="7" borderId="27" xfId="0" applyNumberFormat="1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1" fontId="18" fillId="0" borderId="33" xfId="0" applyNumberFormat="1" applyFont="1" applyFill="1" applyBorder="1" applyAlignment="1">
      <alignment horizontal="center" vertical="center"/>
    </xf>
    <xf numFmtId="1" fontId="18" fillId="0" borderId="25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3" fontId="18" fillId="0" borderId="27" xfId="0" applyNumberFormat="1" applyFont="1" applyFill="1" applyBorder="1" applyAlignment="1">
      <alignment horizontal="center" vertical="center"/>
    </xf>
    <xf numFmtId="2" fontId="18" fillId="0" borderId="25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1" fontId="3" fillId="0" borderId="34" xfId="0" applyNumberFormat="1" applyFont="1" applyFill="1" applyBorder="1" applyAlignment="1">
      <alignment horizontal="center" vertical="center"/>
    </xf>
    <xf numFmtId="1" fontId="3" fillId="0" borderId="35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/>
    </xf>
    <xf numFmtId="0" fontId="12" fillId="0" borderId="36" xfId="0" applyFont="1" applyFill="1" applyBorder="1"/>
    <xf numFmtId="4" fontId="12" fillId="0" borderId="35" xfId="0" applyNumberFormat="1" applyFont="1" applyFill="1" applyBorder="1" applyAlignment="1" applyProtection="1">
      <alignment horizontal="right" vertical="center" wrapText="1"/>
    </xf>
    <xf numFmtId="2" fontId="3" fillId="0" borderId="35" xfId="0" applyNumberFormat="1" applyFont="1" applyFill="1" applyBorder="1" applyAlignment="1">
      <alignment horizontal="center"/>
    </xf>
    <xf numFmtId="1" fontId="6" fillId="0" borderId="35" xfId="0" applyNumberFormat="1" applyFont="1" applyFill="1" applyBorder="1" applyAlignment="1">
      <alignment horizontal="center"/>
    </xf>
    <xf numFmtId="2" fontId="3" fillId="0" borderId="37" xfId="0" applyNumberFormat="1" applyFont="1" applyFill="1" applyBorder="1" applyAlignment="1">
      <alignment horizontal="center"/>
    </xf>
    <xf numFmtId="4" fontId="3" fillId="0" borderId="34" xfId="2" applyNumberFormat="1" applyFont="1" applyFill="1" applyBorder="1" applyAlignment="1">
      <alignment horizontal="center" vertical="center" wrapText="1"/>
    </xf>
    <xf numFmtId="4" fontId="3" fillId="0" borderId="35" xfId="3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/>
    </xf>
    <xf numFmtId="1" fontId="6" fillId="0" borderId="35" xfId="0" applyNumberFormat="1" applyFont="1" applyFill="1" applyBorder="1" applyAlignment="1">
      <alignment horizontal="center" vertical="center"/>
    </xf>
    <xf numFmtId="164" fontId="3" fillId="0" borderId="37" xfId="0" applyNumberFormat="1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>
      <alignment horizontal="center" vertical="center"/>
    </xf>
    <xf numFmtId="165" fontId="3" fillId="0" borderId="35" xfId="0" applyNumberFormat="1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center"/>
    </xf>
    <xf numFmtId="166" fontId="3" fillId="0" borderId="34" xfId="0" applyNumberFormat="1" applyFont="1" applyFill="1" applyBorder="1" applyAlignment="1">
      <alignment horizontal="center"/>
    </xf>
    <xf numFmtId="167" fontId="3" fillId="0" borderId="35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167" fontId="3" fillId="0" borderId="34" xfId="0" applyNumberFormat="1" applyFont="1" applyFill="1" applyBorder="1" applyAlignment="1">
      <alignment horizontal="center"/>
    </xf>
    <xf numFmtId="168" fontId="3" fillId="0" borderId="35" xfId="0" applyNumberFormat="1" applyFont="1" applyFill="1" applyBorder="1" applyAlignment="1">
      <alignment horizontal="center"/>
    </xf>
    <xf numFmtId="2" fontId="3" fillId="0" borderId="38" xfId="0" applyNumberFormat="1" applyFont="1" applyFill="1" applyBorder="1" applyAlignment="1">
      <alignment horizontal="center"/>
    </xf>
    <xf numFmtId="164" fontId="6" fillId="0" borderId="35" xfId="0" applyNumberFormat="1" applyFont="1" applyFill="1" applyBorder="1" applyAlignment="1">
      <alignment horizontal="center"/>
    </xf>
    <xf numFmtId="1" fontId="6" fillId="0" borderId="36" xfId="0" applyNumberFormat="1" applyFont="1" applyFill="1" applyBorder="1" applyAlignment="1">
      <alignment horizontal="center"/>
    </xf>
    <xf numFmtId="2" fontId="3" fillId="0" borderId="37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/>
    </xf>
    <xf numFmtId="164" fontId="3" fillId="0" borderId="35" xfId="1" applyNumberFormat="1" applyFont="1" applyFill="1" applyBorder="1" applyAlignment="1">
      <alignment horizontal="center"/>
    </xf>
    <xf numFmtId="164" fontId="3" fillId="0" borderId="35" xfId="0" applyNumberFormat="1" applyFont="1" applyFill="1" applyBorder="1" applyAlignment="1">
      <alignment horizontal="center" vertical="center"/>
    </xf>
    <xf numFmtId="1" fontId="3" fillId="0" borderId="39" xfId="0" applyNumberFormat="1" applyFont="1" applyFill="1" applyBorder="1" applyAlignment="1">
      <alignment horizontal="center" vertical="center"/>
    </xf>
    <xf numFmtId="164" fontId="18" fillId="0" borderId="35" xfId="0" applyNumberFormat="1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horizontal="center" vertical="center"/>
    </xf>
    <xf numFmtId="1" fontId="6" fillId="0" borderId="37" xfId="0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right"/>
    </xf>
    <xf numFmtId="2" fontId="3" fillId="0" borderId="35" xfId="0" applyNumberFormat="1" applyFont="1" applyFill="1" applyBorder="1" applyAlignment="1">
      <alignment horizontal="right"/>
    </xf>
    <xf numFmtId="169" fontId="3" fillId="0" borderId="35" xfId="0" applyNumberFormat="1" applyFont="1" applyFill="1" applyBorder="1" applyAlignment="1">
      <alignment horizontal="center"/>
    </xf>
    <xf numFmtId="169" fontId="3" fillId="0" borderId="34" xfId="0" applyNumberFormat="1" applyFont="1" applyFill="1" applyBorder="1" applyAlignment="1">
      <alignment horizontal="center"/>
    </xf>
    <xf numFmtId="2" fontId="3" fillId="0" borderId="38" xfId="0" applyNumberFormat="1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164" fontId="14" fillId="0" borderId="35" xfId="0" applyNumberFormat="1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horizontal="center"/>
    </xf>
    <xf numFmtId="164" fontId="3" fillId="0" borderId="34" xfId="0" applyNumberFormat="1" applyFont="1" applyFill="1" applyBorder="1" applyAlignment="1">
      <alignment horizontal="center"/>
    </xf>
    <xf numFmtId="2" fontId="3" fillId="0" borderId="36" xfId="0" applyNumberFormat="1" applyFont="1" applyFill="1" applyBorder="1" applyAlignment="1">
      <alignment horizontal="center" vertical="center"/>
    </xf>
    <xf numFmtId="2" fontId="6" fillId="0" borderId="38" xfId="0" applyNumberFormat="1" applyFont="1" applyFill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/>
    </xf>
    <xf numFmtId="164" fontId="3" fillId="0" borderId="36" xfId="0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64" fontId="3" fillId="0" borderId="36" xfId="0" applyNumberFormat="1" applyFont="1" applyFill="1" applyBorder="1" applyAlignment="1">
      <alignment horizontal="center" vertical="center"/>
    </xf>
    <xf numFmtId="165" fontId="3" fillId="0" borderId="38" xfId="0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3" fillId="0" borderId="10" xfId="0" applyFont="1" applyFill="1" applyBorder="1"/>
    <xf numFmtId="0" fontId="6" fillId="0" borderId="8" xfId="0" applyFont="1" applyFill="1" applyBorder="1"/>
    <xf numFmtId="4" fontId="6" fillId="0" borderId="10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/>
    <xf numFmtId="4" fontId="6" fillId="0" borderId="11" xfId="0" applyNumberFormat="1" applyFont="1" applyFill="1" applyBorder="1"/>
    <xf numFmtId="2" fontId="6" fillId="0" borderId="12" xfId="0" applyNumberFormat="1" applyFont="1" applyFill="1" applyBorder="1" applyAlignment="1">
      <alignment horizontal="center"/>
    </xf>
    <xf numFmtId="166" fontId="6" fillId="0" borderId="10" xfId="0" applyNumberFormat="1" applyFont="1" applyFill="1" applyBorder="1" applyAlignment="1">
      <alignment horizontal="center"/>
    </xf>
    <xf numFmtId="167" fontId="6" fillId="0" borderId="11" xfId="0" applyNumberFormat="1" applyFont="1" applyFill="1" applyBorder="1" applyAlignment="1">
      <alignment horizontal="center"/>
    </xf>
    <xf numFmtId="166" fontId="6" fillId="0" borderId="11" xfId="0" applyNumberFormat="1" applyFont="1" applyFill="1" applyBorder="1" applyAlignment="1">
      <alignment horizontal="center"/>
    </xf>
    <xf numFmtId="166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/>
    <xf numFmtId="2" fontId="6" fillId="0" borderId="11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7" fontId="6" fillId="0" borderId="11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164" fontId="6" fillId="0" borderId="10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1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/>
    <xf numFmtId="0" fontId="20" fillId="2" borderId="0" xfId="0" applyFont="1" applyFill="1"/>
    <xf numFmtId="0" fontId="19" fillId="2" borderId="0" xfId="0" applyFont="1" applyFill="1"/>
    <xf numFmtId="0" fontId="21" fillId="0" borderId="0" xfId="0" applyFont="1" applyFill="1" applyAlignment="1">
      <alignment horizontal="center" wrapText="1"/>
    </xf>
    <xf numFmtId="0" fontId="19" fillId="0" borderId="0" xfId="0" applyFont="1" applyFill="1" applyAlignment="1"/>
    <xf numFmtId="0" fontId="19" fillId="0" borderId="0" xfId="0" applyFont="1" applyFill="1" applyAlignment="1"/>
    <xf numFmtId="0" fontId="0" fillId="0" borderId="0" xfId="0" applyAlignment="1"/>
    <xf numFmtId="0" fontId="0" fillId="0" borderId="0" xfId="0" applyAlignment="1"/>
    <xf numFmtId="0" fontId="2" fillId="0" borderId="0" xfId="0" applyFont="1" applyAlignment="1"/>
  </cellXfs>
  <cellStyles count="4">
    <cellStyle name="Обычный" xfId="0" builtinId="0"/>
    <cellStyle name="Обычный 3" xfId="2"/>
    <cellStyle name="Обычный 4" xfId="3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45"/>
  <sheetViews>
    <sheetView tabSelected="1" topLeftCell="FN1" workbookViewId="0">
      <selection activeCell="GJ5" sqref="GJ5"/>
    </sheetView>
  </sheetViews>
  <sheetFormatPr defaultColWidth="9.140625" defaultRowHeight="12" x14ac:dyDescent="0.2"/>
  <cols>
    <col min="1" max="1" width="3.140625" style="391" customWidth="1"/>
    <col min="2" max="2" width="15.85546875" style="391" customWidth="1"/>
    <col min="3" max="3" width="10.28515625" style="391" customWidth="1"/>
    <col min="4" max="4" width="9.7109375" style="391" customWidth="1"/>
    <col min="5" max="5" width="8.85546875" style="391" customWidth="1"/>
    <col min="6" max="6" width="4.7109375" style="392" customWidth="1"/>
    <col min="7" max="7" width="6.28515625" style="391" customWidth="1"/>
    <col min="8" max="9" width="10.7109375" style="391" customWidth="1"/>
    <col min="10" max="10" width="7.7109375" style="391" customWidth="1"/>
    <col min="11" max="11" width="7.42578125" style="391" customWidth="1"/>
    <col min="12" max="12" width="4.28515625" style="392" customWidth="1"/>
    <col min="13" max="13" width="6" style="391" customWidth="1"/>
    <col min="14" max="14" width="10.28515625" style="391" customWidth="1"/>
    <col min="15" max="15" width="8.28515625" style="391" customWidth="1"/>
    <col min="16" max="16" width="7.85546875" style="391" customWidth="1"/>
    <col min="17" max="17" width="4.5703125" style="392" customWidth="1"/>
    <col min="18" max="18" width="5.7109375" style="391" customWidth="1"/>
    <col min="19" max="19" width="10.28515625" style="391" customWidth="1"/>
    <col min="20" max="20" width="10.7109375" style="391" customWidth="1"/>
    <col min="21" max="21" width="7.5703125" style="391" customWidth="1"/>
    <col min="22" max="22" width="5.140625" style="392" customWidth="1"/>
    <col min="23" max="23" width="5.7109375" style="391" customWidth="1"/>
    <col min="24" max="24" width="11.42578125" style="391" customWidth="1"/>
    <col min="25" max="25" width="10.42578125" style="391" customWidth="1"/>
    <col min="26" max="26" width="7.7109375" style="391" customWidth="1"/>
    <col min="27" max="27" width="5" style="392" customWidth="1"/>
    <col min="28" max="28" width="5.7109375" style="391" customWidth="1"/>
    <col min="29" max="29" width="9.7109375" style="391" customWidth="1"/>
    <col min="30" max="30" width="9.140625" style="391" customWidth="1"/>
    <col min="31" max="31" width="7.5703125" style="391" customWidth="1"/>
    <col min="32" max="32" width="4.140625" style="392" customWidth="1"/>
    <col min="33" max="33" width="6.140625" style="391" customWidth="1"/>
    <col min="34" max="34" width="9.5703125" style="391" customWidth="1"/>
    <col min="35" max="35" width="12" style="391" customWidth="1"/>
    <col min="36" max="36" width="8.42578125" style="391" customWidth="1"/>
    <col min="37" max="37" width="4.7109375" style="392" customWidth="1"/>
    <col min="38" max="38" width="6.85546875" style="391" customWidth="1"/>
    <col min="39" max="39" width="11.5703125" style="391" customWidth="1"/>
    <col min="40" max="40" width="10.140625" style="391" customWidth="1"/>
    <col min="41" max="41" width="11.140625" style="391" customWidth="1"/>
    <col min="42" max="42" width="6" style="392" customWidth="1"/>
    <col min="43" max="43" width="7.28515625" style="391" customWidth="1"/>
    <col min="44" max="44" width="8.5703125" style="391" customWidth="1"/>
    <col min="45" max="45" width="6" style="392" customWidth="1"/>
    <col min="46" max="46" width="5.28515625" style="393" customWidth="1"/>
    <col min="47" max="48" width="8.28515625" style="391" customWidth="1"/>
    <col min="49" max="49" width="8.140625" style="391" customWidth="1"/>
    <col min="50" max="50" width="5" style="392" customWidth="1"/>
    <col min="51" max="51" width="6.28515625" style="391" customWidth="1"/>
    <col min="52" max="53" width="6.42578125" style="391" customWidth="1"/>
    <col min="54" max="54" width="4.7109375" style="392" customWidth="1"/>
    <col min="55" max="55" width="6.140625" style="391" customWidth="1"/>
    <col min="56" max="56" width="12.42578125" style="391" customWidth="1"/>
    <col min="57" max="57" width="10" style="391" customWidth="1"/>
    <col min="58" max="58" width="10.42578125" style="391" customWidth="1"/>
    <col min="59" max="59" width="8.28515625" style="391" customWidth="1"/>
    <col min="60" max="60" width="8.140625" style="391" hidden="1" customWidth="1"/>
    <col min="61" max="61" width="5" style="393" customWidth="1"/>
    <col min="62" max="62" width="7.140625" style="394" customWidth="1"/>
    <col min="63" max="63" width="8.28515625" style="391" customWidth="1"/>
    <col min="64" max="64" width="7.85546875" style="391" customWidth="1"/>
    <col min="65" max="65" width="7" style="391" customWidth="1"/>
    <col min="66" max="66" width="4.7109375" style="392" customWidth="1"/>
    <col min="67" max="67" width="7.5703125" style="391" customWidth="1"/>
    <col min="68" max="68" width="7.28515625" style="391" customWidth="1"/>
    <col min="69" max="69" width="6.42578125" style="391" customWidth="1"/>
    <col min="70" max="70" width="7.5703125" style="391" customWidth="1"/>
    <col min="71" max="71" width="5" style="392" customWidth="1"/>
    <col min="72" max="72" width="7" style="391" customWidth="1"/>
    <col min="73" max="73" width="10.28515625" style="391" customWidth="1"/>
    <col min="74" max="74" width="9.28515625" style="391" customWidth="1"/>
    <col min="75" max="75" width="6.85546875" style="391" customWidth="1"/>
    <col min="76" max="76" width="5.28515625" style="392" customWidth="1"/>
    <col min="77" max="77" width="6.42578125" style="391" customWidth="1"/>
    <col min="78" max="78" width="5.28515625" style="391" customWidth="1"/>
    <col min="79" max="79" width="7.42578125" style="392" customWidth="1"/>
    <col min="80" max="80" width="5.140625" style="393" customWidth="1"/>
    <col min="81" max="81" width="8.5703125" style="391" hidden="1" customWidth="1"/>
    <col min="82" max="82" width="8.42578125" style="391" hidden="1" customWidth="1"/>
    <col min="83" max="83" width="7.42578125" style="391" customWidth="1"/>
    <col min="84" max="84" width="5.42578125" style="392" customWidth="1"/>
    <col min="85" max="85" width="8.28515625" style="391" customWidth="1"/>
    <col min="86" max="86" width="9" style="391" customWidth="1"/>
    <col min="87" max="87" width="5.140625" style="392" customWidth="1"/>
    <col min="88" max="88" width="7.42578125" style="391" customWidth="1"/>
    <col min="89" max="89" width="7.28515625" style="391" customWidth="1"/>
    <col min="90" max="90" width="5.140625" style="392" customWidth="1"/>
    <col min="91" max="91" width="8.7109375" style="391" customWidth="1"/>
    <col min="92" max="92" width="6.28515625" style="391" customWidth="1"/>
    <col min="93" max="93" width="5" style="392" customWidth="1"/>
    <col min="94" max="94" width="7" style="391" customWidth="1"/>
    <col min="95" max="95" width="6.7109375" style="394" customWidth="1"/>
    <col min="96" max="96" width="5.5703125" style="392" customWidth="1"/>
    <col min="97" max="97" width="5.7109375" style="393" customWidth="1"/>
    <col min="98" max="98" width="6.5703125" style="391" customWidth="1"/>
    <col min="99" max="99" width="7.42578125" style="391" customWidth="1"/>
    <col min="100" max="100" width="6" style="392" customWidth="1"/>
    <col min="101" max="101" width="6" style="391" customWidth="1"/>
    <col min="102" max="102" width="6.7109375" style="391" customWidth="1"/>
    <col min="103" max="103" width="5.140625" style="393" customWidth="1"/>
    <col min="104" max="104" width="7" style="394" bestFit="1" customWidth="1"/>
    <col min="105" max="105" width="6.85546875" style="394" bestFit="1" customWidth="1"/>
    <col min="106" max="106" width="12.7109375" style="394" bestFit="1" customWidth="1"/>
    <col min="107" max="107" width="7.28515625" style="394" bestFit="1" customWidth="1"/>
    <col min="108" max="108" width="4.85546875" style="393" customWidth="1"/>
    <col min="109" max="109" width="6" style="394" bestFit="1" customWidth="1"/>
    <col min="110" max="110" width="7" style="394" customWidth="1"/>
    <col min="111" max="111" width="7.28515625" style="394" customWidth="1"/>
    <col min="112" max="112" width="7" style="394" customWidth="1"/>
    <col min="113" max="113" width="6" style="394" hidden="1" customWidth="1"/>
    <col min="114" max="117" width="6" style="394" customWidth="1"/>
    <col min="118" max="118" width="6.85546875" style="394" customWidth="1"/>
    <col min="119" max="119" width="7.5703125" style="394" customWidth="1"/>
    <col min="120" max="120" width="6" style="394" customWidth="1"/>
    <col min="121" max="121" width="5.7109375" style="394" bestFit="1" customWidth="1"/>
    <col min="122" max="122" width="5.5703125" style="392" customWidth="1"/>
    <col min="123" max="123" width="6.42578125" style="393" customWidth="1"/>
    <col min="124" max="124" width="8.42578125" style="391" customWidth="1"/>
    <col min="125" max="125" width="8.140625" style="391" customWidth="1"/>
    <col min="126" max="126" width="6" style="391" customWidth="1"/>
    <col min="127" max="128" width="4.7109375" style="394" customWidth="1"/>
    <col min="129" max="129" width="7.85546875" style="391" customWidth="1"/>
    <col min="130" max="130" width="5.28515625" style="391" customWidth="1"/>
    <col min="131" max="131" width="8.42578125" style="391" customWidth="1"/>
    <col min="132" max="132" width="10.28515625" style="391" customWidth="1"/>
    <col min="133" max="133" width="9.85546875" style="391" customWidth="1"/>
    <col min="134" max="134" width="6.7109375" style="391" customWidth="1"/>
    <col min="135" max="135" width="7.28515625" style="391" customWidth="1"/>
    <col min="136" max="136" width="8.42578125" style="391" customWidth="1"/>
    <col min="137" max="137" width="6.7109375" style="391" customWidth="1"/>
    <col min="138" max="138" width="7.42578125" style="391" customWidth="1"/>
    <col min="139" max="139" width="8.5703125" style="391" customWidth="1"/>
    <col min="140" max="140" width="6" style="391" customWidth="1"/>
    <col min="141" max="141" width="7" style="391" customWidth="1"/>
    <col min="142" max="142" width="7.28515625" style="391" customWidth="1"/>
    <col min="143" max="143" width="6.28515625" style="394" customWidth="1"/>
    <col min="144" max="144" width="7.28515625" style="394" customWidth="1"/>
    <col min="145" max="145" width="9.28515625" style="391" customWidth="1"/>
    <col min="146" max="146" width="8.42578125" style="391" customWidth="1"/>
    <col min="147" max="147" width="6.85546875" style="391" customWidth="1"/>
    <col min="148" max="149" width="5.42578125" style="391" customWidth="1"/>
    <col min="150" max="150" width="9.42578125" style="394" customWidth="1"/>
    <col min="151" max="151" width="8.85546875" style="394" customWidth="1"/>
    <col min="152" max="152" width="7.85546875" style="394" customWidth="1"/>
    <col min="153" max="154" width="5" style="394" customWidth="1"/>
    <col min="155" max="155" width="7.7109375" style="391" customWidth="1"/>
    <col min="156" max="156" width="8.140625" style="391" customWidth="1"/>
    <col min="157" max="157" width="6" style="394" customWidth="1"/>
    <col min="158" max="158" width="7.7109375" style="394" customWidth="1"/>
    <col min="159" max="159" width="7.85546875" style="394" customWidth="1"/>
    <col min="160" max="160" width="7.7109375" style="394" customWidth="1"/>
    <col min="161" max="161" width="4.7109375" style="394" customWidth="1"/>
    <col min="162" max="162" width="6.28515625" style="394" customWidth="1"/>
    <col min="163" max="163" width="7.140625" style="394" customWidth="1"/>
    <col min="164" max="164" width="5.5703125" style="394" customWidth="1"/>
    <col min="165" max="165" width="7" style="394" customWidth="1"/>
    <col min="166" max="166" width="8.5703125" style="394" customWidth="1"/>
    <col min="167" max="167" width="6" style="394" customWidth="1"/>
    <col min="168" max="169" width="8.5703125" style="394" customWidth="1"/>
    <col min="170" max="170" width="4.85546875" style="394" customWidth="1"/>
    <col min="171" max="171" width="8.5703125" style="394" customWidth="1"/>
    <col min="172" max="172" width="7.42578125" style="394" customWidth="1"/>
    <col min="173" max="173" width="7.5703125" style="394" customWidth="1"/>
    <col min="174" max="174" width="6.7109375" style="394" customWidth="1"/>
    <col min="175" max="175" width="7.85546875" style="394" customWidth="1"/>
    <col min="176" max="176" width="7.7109375" style="391" customWidth="1"/>
    <col min="177" max="177" width="7.28515625" style="394" customWidth="1"/>
    <col min="178" max="178" width="7.140625" style="391" customWidth="1"/>
    <col min="179" max="179" width="8.140625" style="391" customWidth="1"/>
    <col min="180" max="180" width="6.7109375" style="391" customWidth="1"/>
    <col min="181" max="181" width="5.28515625" style="391" customWidth="1"/>
    <col min="182" max="182" width="6.7109375" style="391" customWidth="1"/>
    <col min="183" max="183" width="7.85546875" style="391" customWidth="1"/>
    <col min="184" max="184" width="7.7109375" style="391" customWidth="1"/>
    <col min="185" max="185" width="6.42578125" style="391" customWidth="1"/>
    <col min="186" max="186" width="5.28515625" style="391" customWidth="1"/>
    <col min="187" max="187" width="8" style="391" customWidth="1"/>
    <col min="188" max="188" width="5.5703125" style="391" customWidth="1"/>
    <col min="189" max="189" width="5.7109375" style="391" customWidth="1"/>
    <col min="190" max="190" width="7" style="391" customWidth="1"/>
    <col min="191" max="191" width="5.28515625" style="391" customWidth="1"/>
    <col min="192" max="192" width="6.42578125" style="391" customWidth="1"/>
    <col min="193" max="194" width="7.28515625" style="391" customWidth="1"/>
    <col min="195" max="195" width="5.42578125" style="391" customWidth="1"/>
    <col min="196" max="196" width="6.85546875" style="391" customWidth="1"/>
    <col min="197" max="197" width="5.85546875" style="391" customWidth="1"/>
    <col min="198" max="198" width="7.28515625" style="391" customWidth="1"/>
    <col min="199" max="199" width="5.140625" style="391" customWidth="1"/>
    <col min="200" max="200" width="6.7109375" style="391" customWidth="1"/>
    <col min="201" max="201" width="6.42578125" style="391" customWidth="1"/>
    <col min="202" max="202" width="7.42578125" style="391" customWidth="1"/>
    <col min="203" max="203" width="7" style="394" customWidth="1"/>
    <col min="204" max="204" width="7.85546875" style="394" customWidth="1"/>
    <col min="205" max="205" width="10.140625" style="394" customWidth="1"/>
    <col min="206" max="206" width="9.5703125" style="391" customWidth="1"/>
    <col min="207" max="16384" width="9.140625" style="391"/>
  </cols>
  <sheetData>
    <row r="1" spans="1:206" s="1" customFormat="1" ht="43.15" customHeight="1" x14ac:dyDescent="0.2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4"/>
      <c r="Y1" s="4"/>
      <c r="Z1" s="4"/>
      <c r="AA1" s="5"/>
      <c r="AB1" s="4"/>
      <c r="AC1" s="4"/>
      <c r="AD1" s="4"/>
      <c r="AE1" s="4"/>
      <c r="AF1" s="5"/>
      <c r="AG1" s="4"/>
      <c r="AH1" s="4"/>
      <c r="AI1" s="4"/>
      <c r="AJ1" s="4"/>
      <c r="AK1" s="5"/>
      <c r="AL1" s="4"/>
      <c r="AM1" s="4"/>
      <c r="AN1" s="4"/>
      <c r="AO1" s="4"/>
      <c r="AP1" s="5"/>
      <c r="AQ1" s="4"/>
      <c r="AR1" s="4"/>
      <c r="AS1" s="5"/>
      <c r="AT1" s="6"/>
      <c r="AU1" s="4"/>
      <c r="AV1" s="4"/>
      <c r="AW1" s="4"/>
      <c r="AX1" s="5"/>
      <c r="AY1" s="4"/>
      <c r="AZ1" s="4"/>
      <c r="BA1" s="4"/>
      <c r="BB1" s="5"/>
      <c r="BC1" s="4"/>
      <c r="BD1" s="4"/>
      <c r="BE1" s="7"/>
      <c r="BI1" s="8"/>
      <c r="BJ1" s="9"/>
      <c r="BL1" s="10"/>
      <c r="BN1" s="11"/>
      <c r="BS1" s="11"/>
      <c r="BX1" s="11"/>
      <c r="CA1" s="11"/>
      <c r="CB1" s="8"/>
      <c r="CF1" s="11"/>
      <c r="CI1" s="11"/>
      <c r="CL1" s="11"/>
      <c r="CO1" s="11"/>
      <c r="CQ1" s="9"/>
      <c r="CR1" s="11"/>
      <c r="CS1" s="8"/>
      <c r="CT1" s="12"/>
      <c r="CU1" s="12"/>
      <c r="CV1" s="12"/>
      <c r="CW1" s="12"/>
      <c r="CY1" s="8"/>
      <c r="CZ1" s="9"/>
      <c r="DA1" s="13"/>
      <c r="DB1" s="13"/>
      <c r="DC1" s="13"/>
      <c r="DD1" s="13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11"/>
      <c r="DS1" s="8"/>
      <c r="DW1" s="14"/>
      <c r="DX1" s="14"/>
      <c r="DY1" s="15"/>
      <c r="DZ1" s="15"/>
      <c r="EA1" s="15"/>
      <c r="EB1" s="16"/>
      <c r="EM1" s="9"/>
      <c r="EN1" s="9"/>
      <c r="EW1" s="9"/>
      <c r="EX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U1" s="9"/>
      <c r="GU1" s="9"/>
      <c r="GV1" s="9"/>
      <c r="GW1" s="9"/>
    </row>
    <row r="2" spans="1:206" s="29" customFormat="1" ht="64.5" hidden="1" customHeight="1" x14ac:dyDescent="0.25">
      <c r="A2" s="17"/>
      <c r="B2" s="18" t="s">
        <v>1</v>
      </c>
      <c r="C2" s="19" t="s">
        <v>2</v>
      </c>
      <c r="D2" s="19"/>
      <c r="E2" s="19"/>
      <c r="F2" s="19"/>
      <c r="G2" s="19"/>
      <c r="H2" s="19" t="s">
        <v>2</v>
      </c>
      <c r="I2" s="19"/>
      <c r="J2" s="19"/>
      <c r="K2" s="19"/>
      <c r="L2" s="19"/>
      <c r="M2" s="19"/>
      <c r="N2" s="19" t="s">
        <v>3</v>
      </c>
      <c r="O2" s="19"/>
      <c r="P2" s="19"/>
      <c r="Q2" s="19"/>
      <c r="R2" s="19"/>
      <c r="S2" s="19" t="s">
        <v>4</v>
      </c>
      <c r="T2" s="19"/>
      <c r="U2" s="19"/>
      <c r="V2" s="19"/>
      <c r="W2" s="19"/>
      <c r="X2" s="19" t="s">
        <v>4</v>
      </c>
      <c r="Y2" s="19"/>
      <c r="Z2" s="19"/>
      <c r="AA2" s="19"/>
      <c r="AB2" s="19"/>
      <c r="AC2" s="20" t="s">
        <v>5</v>
      </c>
      <c r="AD2" s="20"/>
      <c r="AE2" s="20"/>
      <c r="AF2" s="20"/>
      <c r="AG2" s="20"/>
      <c r="AH2" s="20" t="s">
        <v>6</v>
      </c>
      <c r="AI2" s="20"/>
      <c r="AJ2" s="20"/>
      <c r="AK2" s="20"/>
      <c r="AL2" s="20"/>
      <c r="AM2" s="20" t="s">
        <v>2</v>
      </c>
      <c r="AN2" s="20"/>
      <c r="AO2" s="20"/>
      <c r="AP2" s="20"/>
      <c r="AQ2" s="20"/>
      <c r="AR2" s="21"/>
      <c r="AS2" s="22"/>
      <c r="AT2" s="23"/>
      <c r="AU2" s="20" t="s">
        <v>7</v>
      </c>
      <c r="AV2" s="20"/>
      <c r="AW2" s="20"/>
      <c r="AX2" s="20"/>
      <c r="AY2" s="20"/>
      <c r="AZ2" s="24" t="s">
        <v>8</v>
      </c>
      <c r="BA2" s="24"/>
      <c r="BB2" s="24"/>
      <c r="BC2" s="24"/>
      <c r="BD2" s="20" t="s">
        <v>9</v>
      </c>
      <c r="BE2" s="20"/>
      <c r="BF2" s="20"/>
      <c r="BG2" s="20"/>
      <c r="BH2" s="20"/>
      <c r="BI2" s="20"/>
      <c r="BJ2" s="20"/>
      <c r="BK2" s="25" t="s">
        <v>10</v>
      </c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7"/>
      <c r="BZ2" s="28"/>
      <c r="CA2" s="28"/>
      <c r="CB2" s="28"/>
      <c r="CE2" s="28" t="s">
        <v>11</v>
      </c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30"/>
      <c r="CR2" s="31"/>
      <c r="CS2" s="32"/>
      <c r="CT2" s="33" t="s">
        <v>12</v>
      </c>
      <c r="CU2" s="33"/>
      <c r="CV2" s="33"/>
      <c r="CW2" s="33"/>
      <c r="CX2" s="28" t="s">
        <v>13</v>
      </c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5"/>
      <c r="DR2" s="26"/>
      <c r="DS2" s="27"/>
      <c r="DT2" s="28" t="s">
        <v>14</v>
      </c>
      <c r="DU2" s="28"/>
      <c r="DV2" s="28"/>
      <c r="DW2" s="28"/>
      <c r="DX2" s="28"/>
      <c r="DY2" s="28" t="s">
        <v>15</v>
      </c>
      <c r="DZ2" s="28"/>
      <c r="EA2" s="28"/>
      <c r="EB2" s="28" t="s">
        <v>15</v>
      </c>
      <c r="EC2" s="28"/>
      <c r="ED2" s="28"/>
      <c r="EE2" s="28"/>
      <c r="EF2" s="28" t="s">
        <v>15</v>
      </c>
      <c r="EG2" s="28"/>
      <c r="EH2" s="28"/>
      <c r="EI2" s="28" t="s">
        <v>15</v>
      </c>
      <c r="EJ2" s="28"/>
      <c r="EK2" s="28"/>
      <c r="EL2" s="28" t="s">
        <v>15</v>
      </c>
      <c r="EM2" s="28"/>
      <c r="EN2" s="28"/>
      <c r="EO2" s="28" t="s">
        <v>16</v>
      </c>
      <c r="EP2" s="28"/>
      <c r="EQ2" s="28"/>
      <c r="ER2" s="28"/>
      <c r="ES2" s="28"/>
      <c r="ET2" s="34" t="s">
        <v>17</v>
      </c>
      <c r="EU2" s="35"/>
      <c r="EV2" s="35"/>
      <c r="EW2" s="35"/>
      <c r="EX2" s="36"/>
      <c r="EY2" s="25" t="s">
        <v>15</v>
      </c>
      <c r="EZ2" s="26"/>
      <c r="FA2" s="26"/>
      <c r="FB2" s="26"/>
      <c r="FC2" s="26"/>
      <c r="FD2" s="26"/>
      <c r="FE2" s="26"/>
      <c r="FF2" s="27"/>
      <c r="FG2" s="37" t="s">
        <v>18</v>
      </c>
      <c r="FH2" s="38"/>
      <c r="FI2" s="38"/>
      <c r="FJ2" s="38"/>
      <c r="FK2" s="38"/>
      <c r="FL2" s="39"/>
      <c r="FM2" s="37" t="s">
        <v>19</v>
      </c>
      <c r="FN2" s="38"/>
      <c r="FO2" s="38"/>
      <c r="FP2" s="38"/>
      <c r="FQ2" s="38"/>
      <c r="FR2" s="39"/>
      <c r="FS2" s="40"/>
      <c r="FT2" s="41"/>
      <c r="FU2" s="42"/>
      <c r="FV2" s="25" t="s">
        <v>20</v>
      </c>
      <c r="FW2" s="26"/>
      <c r="FX2" s="26"/>
      <c r="FY2" s="26"/>
      <c r="FZ2" s="27"/>
      <c r="GA2" s="25" t="s">
        <v>21</v>
      </c>
      <c r="GB2" s="26"/>
      <c r="GC2" s="26"/>
      <c r="GD2" s="26"/>
      <c r="GE2" s="27"/>
      <c r="GF2" s="25" t="s">
        <v>22</v>
      </c>
      <c r="GG2" s="26"/>
      <c r="GH2" s="26"/>
      <c r="GI2" s="26"/>
      <c r="GJ2" s="27"/>
      <c r="GK2" s="25" t="s">
        <v>20</v>
      </c>
      <c r="GL2" s="26"/>
      <c r="GM2" s="26"/>
      <c r="GN2" s="26"/>
      <c r="GO2" s="26"/>
      <c r="GP2" s="26"/>
      <c r="GQ2" s="26"/>
      <c r="GR2" s="26"/>
      <c r="GS2" s="25"/>
      <c r="GT2" s="26"/>
      <c r="GU2" s="27"/>
      <c r="GV2" s="30"/>
      <c r="GW2" s="43"/>
      <c r="GX2" s="44"/>
    </row>
    <row r="3" spans="1:206" s="1" customFormat="1" ht="18.75" customHeight="1" x14ac:dyDescent="0.3">
      <c r="A3" s="45"/>
      <c r="B3" s="46"/>
      <c r="C3" s="47" t="s">
        <v>23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8"/>
      <c r="AU3" s="49" t="s">
        <v>24</v>
      </c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8"/>
      <c r="CC3" s="49" t="s">
        <v>25</v>
      </c>
      <c r="CD3" s="47"/>
      <c r="CE3" s="47"/>
      <c r="CF3" s="47"/>
      <c r="CG3" s="47"/>
      <c r="CH3" s="47"/>
      <c r="CI3" s="47"/>
      <c r="CJ3" s="47"/>
      <c r="CK3" s="50"/>
      <c r="CL3" s="50"/>
      <c r="CM3" s="50"/>
      <c r="CN3" s="50"/>
      <c r="CO3" s="50"/>
      <c r="CP3" s="50"/>
      <c r="CQ3" s="51"/>
      <c r="CR3" s="52"/>
      <c r="CS3" s="53"/>
      <c r="CT3" s="54" t="s">
        <v>26</v>
      </c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6"/>
      <c r="DT3" s="54" t="s">
        <v>27</v>
      </c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6"/>
      <c r="FV3" s="57" t="s">
        <v>28</v>
      </c>
      <c r="FW3" s="58"/>
      <c r="FX3" s="58"/>
      <c r="FY3" s="58"/>
      <c r="FZ3" s="58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60"/>
      <c r="GS3" s="61"/>
      <c r="GT3" s="59"/>
      <c r="GU3" s="62"/>
      <c r="GV3" s="63"/>
      <c r="GW3" s="64"/>
      <c r="GX3" s="65"/>
    </row>
    <row r="4" spans="1:206" s="91" customFormat="1" ht="129.75" customHeight="1" x14ac:dyDescent="0.25">
      <c r="A4" s="66" t="s">
        <v>29</v>
      </c>
      <c r="B4" s="67" t="s">
        <v>30</v>
      </c>
      <c r="C4" s="68" t="s">
        <v>31</v>
      </c>
      <c r="D4" s="69"/>
      <c r="E4" s="69"/>
      <c r="F4" s="69"/>
      <c r="G4" s="70"/>
      <c r="H4" s="68" t="s">
        <v>32</v>
      </c>
      <c r="I4" s="69"/>
      <c r="J4" s="69"/>
      <c r="K4" s="69"/>
      <c r="L4" s="69"/>
      <c r="M4" s="70"/>
      <c r="N4" s="68" t="s">
        <v>33</v>
      </c>
      <c r="O4" s="69"/>
      <c r="P4" s="69"/>
      <c r="Q4" s="69"/>
      <c r="R4" s="70"/>
      <c r="S4" s="68" t="s">
        <v>34</v>
      </c>
      <c r="T4" s="69"/>
      <c r="U4" s="69"/>
      <c r="V4" s="69"/>
      <c r="W4" s="70"/>
      <c r="X4" s="68" t="s">
        <v>35</v>
      </c>
      <c r="Y4" s="69"/>
      <c r="Z4" s="69"/>
      <c r="AA4" s="69"/>
      <c r="AB4" s="70"/>
      <c r="AC4" s="68" t="s">
        <v>36</v>
      </c>
      <c r="AD4" s="69"/>
      <c r="AE4" s="69"/>
      <c r="AF4" s="69"/>
      <c r="AG4" s="70"/>
      <c r="AH4" s="68" t="s">
        <v>37</v>
      </c>
      <c r="AI4" s="69"/>
      <c r="AJ4" s="69"/>
      <c r="AK4" s="69"/>
      <c r="AL4" s="70"/>
      <c r="AM4" s="68" t="s">
        <v>38</v>
      </c>
      <c r="AN4" s="69"/>
      <c r="AO4" s="69"/>
      <c r="AP4" s="69"/>
      <c r="AQ4" s="70"/>
      <c r="AR4" s="71" t="s">
        <v>39</v>
      </c>
      <c r="AS4" s="72" t="s">
        <v>40</v>
      </c>
      <c r="AT4" s="73" t="s">
        <v>41</v>
      </c>
      <c r="AU4" s="68" t="s">
        <v>42</v>
      </c>
      <c r="AV4" s="69"/>
      <c r="AW4" s="69"/>
      <c r="AX4" s="69"/>
      <c r="AY4" s="70"/>
      <c r="AZ4" s="68" t="s">
        <v>43</v>
      </c>
      <c r="BA4" s="69"/>
      <c r="BB4" s="69"/>
      <c r="BC4" s="70"/>
      <c r="BD4" s="68" t="s">
        <v>44</v>
      </c>
      <c r="BE4" s="69"/>
      <c r="BF4" s="69"/>
      <c r="BG4" s="69"/>
      <c r="BH4" s="69"/>
      <c r="BI4" s="69"/>
      <c r="BJ4" s="70"/>
      <c r="BK4" s="68" t="s">
        <v>45</v>
      </c>
      <c r="BL4" s="69"/>
      <c r="BM4" s="69"/>
      <c r="BN4" s="69"/>
      <c r="BO4" s="70"/>
      <c r="BP4" s="68" t="s">
        <v>46</v>
      </c>
      <c r="BQ4" s="69"/>
      <c r="BR4" s="69"/>
      <c r="BS4" s="69"/>
      <c r="BT4" s="70"/>
      <c r="BU4" s="68" t="s">
        <v>47</v>
      </c>
      <c r="BV4" s="69"/>
      <c r="BW4" s="69"/>
      <c r="BX4" s="69"/>
      <c r="BY4" s="70"/>
      <c r="BZ4" s="71" t="s">
        <v>39</v>
      </c>
      <c r="CA4" s="74" t="s">
        <v>48</v>
      </c>
      <c r="CB4" s="75" t="s">
        <v>49</v>
      </c>
      <c r="CC4" s="68" t="s">
        <v>50</v>
      </c>
      <c r="CD4" s="69"/>
      <c r="CE4" s="69"/>
      <c r="CF4" s="69"/>
      <c r="CG4" s="70"/>
      <c r="CH4" s="68" t="s">
        <v>51</v>
      </c>
      <c r="CI4" s="69"/>
      <c r="CJ4" s="70"/>
      <c r="CK4" s="68" t="s">
        <v>52</v>
      </c>
      <c r="CL4" s="69"/>
      <c r="CM4" s="70"/>
      <c r="CN4" s="68" t="s">
        <v>53</v>
      </c>
      <c r="CO4" s="69"/>
      <c r="CP4" s="70"/>
      <c r="CQ4" s="76" t="s">
        <v>39</v>
      </c>
      <c r="CR4" s="74" t="s">
        <v>54</v>
      </c>
      <c r="CS4" s="77" t="s">
        <v>55</v>
      </c>
      <c r="CT4" s="68" t="s">
        <v>56</v>
      </c>
      <c r="CU4" s="69"/>
      <c r="CV4" s="69"/>
      <c r="CW4" s="70"/>
      <c r="CX4" s="78" t="s">
        <v>57</v>
      </c>
      <c r="CY4" s="79"/>
      <c r="CZ4" s="80"/>
      <c r="DA4" s="81" t="s">
        <v>58</v>
      </c>
      <c r="DB4" s="81"/>
      <c r="DC4" s="81"/>
      <c r="DD4" s="81"/>
      <c r="DE4" s="78"/>
      <c r="DF4" s="78" t="s">
        <v>59</v>
      </c>
      <c r="DG4" s="79"/>
      <c r="DH4" s="79"/>
      <c r="DI4" s="79"/>
      <c r="DJ4" s="79"/>
      <c r="DK4" s="80"/>
      <c r="DL4" s="79" t="s">
        <v>60</v>
      </c>
      <c r="DM4" s="79"/>
      <c r="DN4" s="79"/>
      <c r="DO4" s="79"/>
      <c r="DP4" s="80"/>
      <c r="DQ4" s="82" t="s">
        <v>39</v>
      </c>
      <c r="DR4" s="83" t="s">
        <v>61</v>
      </c>
      <c r="DS4" s="75" t="s">
        <v>62</v>
      </c>
      <c r="DT4" s="68" t="s">
        <v>63</v>
      </c>
      <c r="DU4" s="69"/>
      <c r="DV4" s="69"/>
      <c r="DW4" s="69"/>
      <c r="DX4" s="70"/>
      <c r="DY4" s="68" t="s">
        <v>64</v>
      </c>
      <c r="DZ4" s="69"/>
      <c r="EA4" s="70"/>
      <c r="EB4" s="68" t="s">
        <v>65</v>
      </c>
      <c r="EC4" s="69"/>
      <c r="ED4" s="69"/>
      <c r="EE4" s="70"/>
      <c r="EF4" s="68" t="s">
        <v>66</v>
      </c>
      <c r="EG4" s="69"/>
      <c r="EH4" s="70"/>
      <c r="EI4" s="68" t="s">
        <v>67</v>
      </c>
      <c r="EJ4" s="69"/>
      <c r="EK4" s="70"/>
      <c r="EL4" s="68" t="s">
        <v>68</v>
      </c>
      <c r="EM4" s="69"/>
      <c r="EN4" s="69"/>
      <c r="EO4" s="68" t="s">
        <v>69</v>
      </c>
      <c r="EP4" s="69"/>
      <c r="EQ4" s="69"/>
      <c r="ER4" s="69"/>
      <c r="ES4" s="70"/>
      <c r="ET4" s="68" t="s">
        <v>70</v>
      </c>
      <c r="EU4" s="69"/>
      <c r="EV4" s="69"/>
      <c r="EW4" s="69"/>
      <c r="EX4" s="70"/>
      <c r="EY4" s="84" t="s">
        <v>71</v>
      </c>
      <c r="EZ4" s="85"/>
      <c r="FA4" s="85"/>
      <c r="FB4" s="86"/>
      <c r="FC4" s="84" t="s">
        <v>72</v>
      </c>
      <c r="FD4" s="85"/>
      <c r="FE4" s="85"/>
      <c r="FF4" s="86"/>
      <c r="FG4" s="84" t="s">
        <v>73</v>
      </c>
      <c r="FH4" s="85"/>
      <c r="FI4" s="85"/>
      <c r="FJ4" s="84" t="s">
        <v>74</v>
      </c>
      <c r="FK4" s="85"/>
      <c r="FL4" s="86"/>
      <c r="FM4" s="84" t="s">
        <v>75</v>
      </c>
      <c r="FN4" s="85"/>
      <c r="FO4" s="86"/>
      <c r="FP4" s="84" t="s">
        <v>76</v>
      </c>
      <c r="FQ4" s="85"/>
      <c r="FR4" s="86"/>
      <c r="FS4" s="87" t="s">
        <v>39</v>
      </c>
      <c r="FT4" s="74" t="s">
        <v>77</v>
      </c>
      <c r="FU4" s="77" t="s">
        <v>78</v>
      </c>
      <c r="FV4" s="88" t="s">
        <v>79</v>
      </c>
      <c r="FW4" s="69"/>
      <c r="FX4" s="69"/>
      <c r="FY4" s="69"/>
      <c r="FZ4" s="69"/>
      <c r="GA4" s="68" t="s">
        <v>80</v>
      </c>
      <c r="GB4" s="69"/>
      <c r="GC4" s="69"/>
      <c r="GD4" s="69"/>
      <c r="GE4" s="70"/>
      <c r="GF4" s="68" t="s">
        <v>81</v>
      </c>
      <c r="GG4" s="69"/>
      <c r="GH4" s="69"/>
      <c r="GI4" s="69"/>
      <c r="GJ4" s="69"/>
      <c r="GK4" s="68" t="s">
        <v>82</v>
      </c>
      <c r="GL4" s="69"/>
      <c r="GM4" s="69"/>
      <c r="GN4" s="70"/>
      <c r="GO4" s="68" t="s">
        <v>83</v>
      </c>
      <c r="GP4" s="69"/>
      <c r="GQ4" s="69"/>
      <c r="GR4" s="69"/>
      <c r="GS4" s="71" t="s">
        <v>39</v>
      </c>
      <c r="GT4" s="74" t="s">
        <v>84</v>
      </c>
      <c r="GU4" s="75" t="s">
        <v>85</v>
      </c>
      <c r="GV4" s="89" t="s">
        <v>86</v>
      </c>
      <c r="GW4" s="90" t="s">
        <v>87</v>
      </c>
      <c r="GX4" s="90" t="s">
        <v>88</v>
      </c>
    </row>
    <row r="5" spans="1:206" s="118" customFormat="1" ht="162.75" customHeight="1" x14ac:dyDescent="0.25">
      <c r="A5" s="92"/>
      <c r="B5" s="93"/>
      <c r="C5" s="94" t="s">
        <v>89</v>
      </c>
      <c r="D5" s="95" t="s">
        <v>90</v>
      </c>
      <c r="E5" s="95" t="s">
        <v>91</v>
      </c>
      <c r="F5" s="96" t="s">
        <v>92</v>
      </c>
      <c r="G5" s="97" t="s">
        <v>93</v>
      </c>
      <c r="H5" s="94" t="s">
        <v>94</v>
      </c>
      <c r="I5" s="95" t="s">
        <v>95</v>
      </c>
      <c r="J5" s="95" t="s">
        <v>91</v>
      </c>
      <c r="K5" s="98">
        <v>100</v>
      </c>
      <c r="L5" s="96" t="s">
        <v>92</v>
      </c>
      <c r="M5" s="97" t="s">
        <v>93</v>
      </c>
      <c r="N5" s="94" t="s">
        <v>96</v>
      </c>
      <c r="O5" s="95" t="s">
        <v>97</v>
      </c>
      <c r="P5" s="95" t="s">
        <v>98</v>
      </c>
      <c r="Q5" s="96" t="s">
        <v>92</v>
      </c>
      <c r="R5" s="97" t="s">
        <v>93</v>
      </c>
      <c r="S5" s="94" t="s">
        <v>99</v>
      </c>
      <c r="T5" s="99" t="s">
        <v>100</v>
      </c>
      <c r="U5" s="95" t="s">
        <v>101</v>
      </c>
      <c r="V5" s="96" t="s">
        <v>92</v>
      </c>
      <c r="W5" s="97" t="s">
        <v>93</v>
      </c>
      <c r="X5" s="100" t="s">
        <v>102</v>
      </c>
      <c r="Y5" s="95" t="s">
        <v>103</v>
      </c>
      <c r="Z5" s="95" t="s">
        <v>91</v>
      </c>
      <c r="AA5" s="96" t="s">
        <v>92</v>
      </c>
      <c r="AB5" s="97" t="s">
        <v>93</v>
      </c>
      <c r="AC5" s="94" t="s">
        <v>104</v>
      </c>
      <c r="AD5" s="95" t="s">
        <v>105</v>
      </c>
      <c r="AE5" s="95" t="s">
        <v>91</v>
      </c>
      <c r="AF5" s="96" t="s">
        <v>92</v>
      </c>
      <c r="AG5" s="97" t="s">
        <v>93</v>
      </c>
      <c r="AH5" s="94" t="s">
        <v>106</v>
      </c>
      <c r="AI5" s="95" t="s">
        <v>107</v>
      </c>
      <c r="AJ5" s="95" t="s">
        <v>91</v>
      </c>
      <c r="AK5" s="96" t="s">
        <v>92</v>
      </c>
      <c r="AL5" s="97" t="s">
        <v>93</v>
      </c>
      <c r="AM5" s="94" t="s">
        <v>108</v>
      </c>
      <c r="AN5" s="95" t="s">
        <v>109</v>
      </c>
      <c r="AO5" s="95" t="s">
        <v>91</v>
      </c>
      <c r="AP5" s="96" t="s">
        <v>92</v>
      </c>
      <c r="AQ5" s="97" t="s">
        <v>93</v>
      </c>
      <c r="AR5" s="101"/>
      <c r="AS5" s="102"/>
      <c r="AT5" s="103"/>
      <c r="AU5" s="94" t="s">
        <v>110</v>
      </c>
      <c r="AV5" s="95" t="s">
        <v>111</v>
      </c>
      <c r="AW5" s="95" t="s">
        <v>91</v>
      </c>
      <c r="AX5" s="96" t="s">
        <v>92</v>
      </c>
      <c r="AY5" s="97" t="s">
        <v>93</v>
      </c>
      <c r="AZ5" s="94" t="s">
        <v>112</v>
      </c>
      <c r="BA5" s="95" t="s">
        <v>91</v>
      </c>
      <c r="BB5" s="96" t="s">
        <v>92</v>
      </c>
      <c r="BC5" s="97" t="s">
        <v>93</v>
      </c>
      <c r="BD5" s="94" t="s">
        <v>113</v>
      </c>
      <c r="BE5" s="95" t="s">
        <v>114</v>
      </c>
      <c r="BF5" s="95" t="s">
        <v>115</v>
      </c>
      <c r="BG5" s="95" t="s">
        <v>116</v>
      </c>
      <c r="BH5" s="98">
        <v>100</v>
      </c>
      <c r="BI5" s="96" t="s">
        <v>92</v>
      </c>
      <c r="BJ5" s="97" t="s">
        <v>93</v>
      </c>
      <c r="BK5" s="94" t="s">
        <v>117</v>
      </c>
      <c r="BL5" s="95" t="s">
        <v>118</v>
      </c>
      <c r="BM5" s="95" t="s">
        <v>91</v>
      </c>
      <c r="BN5" s="96" t="s">
        <v>92</v>
      </c>
      <c r="BO5" s="97" t="s">
        <v>93</v>
      </c>
      <c r="BP5" s="94" t="s">
        <v>119</v>
      </c>
      <c r="BQ5" s="95" t="s">
        <v>120</v>
      </c>
      <c r="BR5" s="95" t="s">
        <v>121</v>
      </c>
      <c r="BS5" s="96" t="s">
        <v>92</v>
      </c>
      <c r="BT5" s="97" t="s">
        <v>93</v>
      </c>
      <c r="BU5" s="104" t="s">
        <v>122</v>
      </c>
      <c r="BV5" s="105" t="s">
        <v>123</v>
      </c>
      <c r="BW5" s="95" t="s">
        <v>91</v>
      </c>
      <c r="BX5" s="96" t="s">
        <v>92</v>
      </c>
      <c r="BY5" s="97" t="s">
        <v>93</v>
      </c>
      <c r="BZ5" s="94"/>
      <c r="CA5" s="102"/>
      <c r="CB5" s="106"/>
      <c r="CC5" s="94" t="s">
        <v>124</v>
      </c>
      <c r="CD5" s="95" t="s">
        <v>125</v>
      </c>
      <c r="CE5" s="95" t="s">
        <v>91</v>
      </c>
      <c r="CF5" s="96" t="s">
        <v>92</v>
      </c>
      <c r="CG5" s="97" t="s">
        <v>93</v>
      </c>
      <c r="CH5" s="94" t="s">
        <v>126</v>
      </c>
      <c r="CI5" s="96" t="s">
        <v>92</v>
      </c>
      <c r="CJ5" s="97" t="s">
        <v>93</v>
      </c>
      <c r="CK5" s="95" t="s">
        <v>91</v>
      </c>
      <c r="CL5" s="96" t="s">
        <v>92</v>
      </c>
      <c r="CM5" s="97" t="s">
        <v>93</v>
      </c>
      <c r="CN5" s="94" t="s">
        <v>127</v>
      </c>
      <c r="CO5" s="96" t="s">
        <v>92</v>
      </c>
      <c r="CP5" s="97" t="s">
        <v>93</v>
      </c>
      <c r="CQ5" s="101"/>
      <c r="CR5" s="102"/>
      <c r="CS5" s="103"/>
      <c r="CT5" s="94" t="s">
        <v>128</v>
      </c>
      <c r="CU5" s="95" t="s">
        <v>129</v>
      </c>
      <c r="CV5" s="96" t="s">
        <v>92</v>
      </c>
      <c r="CW5" s="97" t="s">
        <v>93</v>
      </c>
      <c r="CX5" s="107" t="s">
        <v>130</v>
      </c>
      <c r="CY5" s="108" t="s">
        <v>92</v>
      </c>
      <c r="CZ5" s="109" t="s">
        <v>93</v>
      </c>
      <c r="DA5" s="110" t="s">
        <v>131</v>
      </c>
      <c r="DB5" s="111" t="s">
        <v>132</v>
      </c>
      <c r="DC5" s="111" t="s">
        <v>91</v>
      </c>
      <c r="DD5" s="112" t="s">
        <v>92</v>
      </c>
      <c r="DE5" s="113" t="s">
        <v>93</v>
      </c>
      <c r="DF5" s="110" t="s">
        <v>133</v>
      </c>
      <c r="DG5" s="110" t="s">
        <v>134</v>
      </c>
      <c r="DH5" s="111" t="s">
        <v>91</v>
      </c>
      <c r="DI5" s="111"/>
      <c r="DJ5" s="111" t="s">
        <v>92</v>
      </c>
      <c r="DK5" s="113" t="s">
        <v>93</v>
      </c>
      <c r="DL5" s="110" t="s">
        <v>135</v>
      </c>
      <c r="DM5" s="111" t="s">
        <v>136</v>
      </c>
      <c r="DN5" s="111"/>
      <c r="DO5" s="111" t="s">
        <v>92</v>
      </c>
      <c r="DP5" s="113" t="s">
        <v>93</v>
      </c>
      <c r="DQ5" s="101"/>
      <c r="DR5" s="102"/>
      <c r="DS5" s="106"/>
      <c r="DT5" s="94" t="s">
        <v>137</v>
      </c>
      <c r="DU5" s="95" t="s">
        <v>138</v>
      </c>
      <c r="DV5" s="95" t="s">
        <v>91</v>
      </c>
      <c r="DW5" s="96" t="s">
        <v>92</v>
      </c>
      <c r="DX5" s="97" t="s">
        <v>93</v>
      </c>
      <c r="DY5" s="94" t="s">
        <v>139</v>
      </c>
      <c r="DZ5" s="96" t="s">
        <v>92</v>
      </c>
      <c r="EA5" s="97" t="s">
        <v>93</v>
      </c>
      <c r="EB5" s="94" t="s">
        <v>140</v>
      </c>
      <c r="EC5" s="95" t="s">
        <v>91</v>
      </c>
      <c r="ED5" s="96" t="s">
        <v>92</v>
      </c>
      <c r="EE5" s="97" t="s">
        <v>93</v>
      </c>
      <c r="EF5" s="94" t="s">
        <v>141</v>
      </c>
      <c r="EG5" s="96" t="s">
        <v>92</v>
      </c>
      <c r="EH5" s="97" t="s">
        <v>93</v>
      </c>
      <c r="EI5" s="94" t="s">
        <v>142</v>
      </c>
      <c r="EJ5" s="96" t="s">
        <v>92</v>
      </c>
      <c r="EK5" s="97" t="s">
        <v>93</v>
      </c>
      <c r="EL5" s="94" t="s">
        <v>143</v>
      </c>
      <c r="EM5" s="96" t="s">
        <v>92</v>
      </c>
      <c r="EN5" s="114" t="s">
        <v>93</v>
      </c>
      <c r="EO5" s="94" t="s">
        <v>144</v>
      </c>
      <c r="EP5" s="95" t="s">
        <v>145</v>
      </c>
      <c r="EQ5" s="95" t="s">
        <v>91</v>
      </c>
      <c r="ER5" s="96" t="s">
        <v>92</v>
      </c>
      <c r="ES5" s="97" t="s">
        <v>93</v>
      </c>
      <c r="ET5" s="94" t="s">
        <v>146</v>
      </c>
      <c r="EU5" s="95" t="s">
        <v>147</v>
      </c>
      <c r="EV5" s="95" t="s">
        <v>91</v>
      </c>
      <c r="EW5" s="96" t="s">
        <v>92</v>
      </c>
      <c r="EX5" s="97" t="s">
        <v>93</v>
      </c>
      <c r="EY5" s="94" t="s">
        <v>148</v>
      </c>
      <c r="EZ5" s="95" t="s">
        <v>149</v>
      </c>
      <c r="FA5" s="96" t="s">
        <v>92</v>
      </c>
      <c r="FB5" s="97" t="s">
        <v>93</v>
      </c>
      <c r="FC5" s="94" t="s">
        <v>150</v>
      </c>
      <c r="FD5" s="95" t="s">
        <v>151</v>
      </c>
      <c r="FE5" s="96" t="s">
        <v>92</v>
      </c>
      <c r="FF5" s="97" t="s">
        <v>93</v>
      </c>
      <c r="FG5" s="94" t="s">
        <v>152</v>
      </c>
      <c r="FH5" s="96" t="s">
        <v>92</v>
      </c>
      <c r="FI5" s="114" t="s">
        <v>93</v>
      </c>
      <c r="FJ5" s="94" t="s">
        <v>153</v>
      </c>
      <c r="FK5" s="96" t="s">
        <v>92</v>
      </c>
      <c r="FL5" s="97" t="s">
        <v>93</v>
      </c>
      <c r="FM5" s="94" t="s">
        <v>129</v>
      </c>
      <c r="FN5" s="96" t="s">
        <v>92</v>
      </c>
      <c r="FO5" s="97" t="s">
        <v>93</v>
      </c>
      <c r="FP5" s="94" t="s">
        <v>129</v>
      </c>
      <c r="FQ5" s="96" t="s">
        <v>92</v>
      </c>
      <c r="FR5" s="97" t="s">
        <v>93</v>
      </c>
      <c r="FS5" s="115"/>
      <c r="FT5" s="102"/>
      <c r="FU5" s="102"/>
      <c r="FV5" s="95" t="s">
        <v>154</v>
      </c>
      <c r="FW5" s="95" t="s">
        <v>155</v>
      </c>
      <c r="FX5" s="95" t="s">
        <v>91</v>
      </c>
      <c r="FY5" s="96" t="s">
        <v>92</v>
      </c>
      <c r="FZ5" s="114" t="s">
        <v>93</v>
      </c>
      <c r="GA5" s="94" t="s">
        <v>156</v>
      </c>
      <c r="GB5" s="95" t="s">
        <v>157</v>
      </c>
      <c r="GC5" s="92" t="s">
        <v>91</v>
      </c>
      <c r="GD5" s="96" t="s">
        <v>92</v>
      </c>
      <c r="GE5" s="97" t="s">
        <v>93</v>
      </c>
      <c r="GF5" s="94" t="s">
        <v>158</v>
      </c>
      <c r="GG5" s="95" t="s">
        <v>159</v>
      </c>
      <c r="GH5" s="95" t="s">
        <v>91</v>
      </c>
      <c r="GI5" s="96" t="s">
        <v>92</v>
      </c>
      <c r="GJ5" s="114" t="s">
        <v>93</v>
      </c>
      <c r="GK5" s="94" t="s">
        <v>160</v>
      </c>
      <c r="GL5" s="101" t="s">
        <v>161</v>
      </c>
      <c r="GM5" s="96" t="s">
        <v>92</v>
      </c>
      <c r="GN5" s="97" t="s">
        <v>93</v>
      </c>
      <c r="GO5" s="94" t="s">
        <v>162</v>
      </c>
      <c r="GP5" s="95" t="s">
        <v>163</v>
      </c>
      <c r="GQ5" s="96" t="s">
        <v>92</v>
      </c>
      <c r="GR5" s="114" t="s">
        <v>93</v>
      </c>
      <c r="GS5" s="116"/>
      <c r="GT5" s="102"/>
      <c r="GU5" s="106"/>
      <c r="GV5" s="94"/>
      <c r="GW5" s="117"/>
      <c r="GX5" s="117"/>
    </row>
    <row r="6" spans="1:206" s="125" customFormat="1" ht="17.25" customHeight="1" x14ac:dyDescent="0.2">
      <c r="A6" s="119">
        <v>1</v>
      </c>
      <c r="B6" s="119">
        <v>2</v>
      </c>
      <c r="C6" s="120">
        <v>3</v>
      </c>
      <c r="D6" s="119">
        <v>4</v>
      </c>
      <c r="E6" s="120">
        <v>5</v>
      </c>
      <c r="F6" s="119">
        <v>6</v>
      </c>
      <c r="G6" s="121">
        <v>7</v>
      </c>
      <c r="H6" s="122">
        <v>8</v>
      </c>
      <c r="I6" s="120">
        <v>9</v>
      </c>
      <c r="J6" s="119">
        <v>10</v>
      </c>
      <c r="K6" s="119">
        <v>11</v>
      </c>
      <c r="L6" s="120">
        <v>12</v>
      </c>
      <c r="M6" s="123">
        <v>13</v>
      </c>
      <c r="N6" s="122">
        <v>14</v>
      </c>
      <c r="O6" s="120">
        <v>15</v>
      </c>
      <c r="P6" s="119">
        <v>16</v>
      </c>
      <c r="Q6" s="119">
        <v>17</v>
      </c>
      <c r="R6" s="121">
        <v>18</v>
      </c>
      <c r="S6" s="122">
        <v>19</v>
      </c>
      <c r="T6" s="119">
        <v>20</v>
      </c>
      <c r="U6" s="120">
        <v>21</v>
      </c>
      <c r="V6" s="119">
        <v>22</v>
      </c>
      <c r="W6" s="123">
        <v>23</v>
      </c>
      <c r="X6" s="124">
        <v>24</v>
      </c>
      <c r="Y6" s="119">
        <v>25</v>
      </c>
      <c r="Z6" s="119">
        <v>26</v>
      </c>
      <c r="AA6" s="120">
        <v>27</v>
      </c>
      <c r="AB6" s="123">
        <v>28</v>
      </c>
      <c r="AC6" s="122">
        <v>29</v>
      </c>
      <c r="AD6" s="120">
        <v>30</v>
      </c>
      <c r="AE6" s="119">
        <v>31</v>
      </c>
      <c r="AF6" s="119">
        <v>32</v>
      </c>
      <c r="AG6" s="121">
        <v>33</v>
      </c>
      <c r="AH6" s="122">
        <v>34</v>
      </c>
      <c r="AI6" s="119">
        <v>35</v>
      </c>
      <c r="AJ6" s="120">
        <v>36</v>
      </c>
      <c r="AK6" s="119">
        <v>37</v>
      </c>
      <c r="AL6" s="123">
        <v>38</v>
      </c>
      <c r="AM6" s="124">
        <v>39</v>
      </c>
      <c r="AN6" s="119">
        <v>40</v>
      </c>
      <c r="AO6" s="119">
        <v>41</v>
      </c>
      <c r="AP6" s="120">
        <v>42</v>
      </c>
      <c r="AQ6" s="123">
        <v>43</v>
      </c>
      <c r="AR6" s="122">
        <v>44</v>
      </c>
      <c r="AS6" s="120">
        <v>45</v>
      </c>
      <c r="AT6" s="123">
        <v>46</v>
      </c>
      <c r="AU6" s="122">
        <v>47</v>
      </c>
      <c r="AV6" s="120">
        <v>48</v>
      </c>
      <c r="AW6" s="119">
        <v>49</v>
      </c>
      <c r="AX6" s="119">
        <v>50</v>
      </c>
      <c r="AY6" s="121">
        <v>51</v>
      </c>
      <c r="AZ6" s="122">
        <v>52</v>
      </c>
      <c r="BA6" s="119">
        <v>53</v>
      </c>
      <c r="BB6" s="120">
        <v>54</v>
      </c>
      <c r="BC6" s="123">
        <v>55</v>
      </c>
      <c r="BD6" s="122">
        <v>56</v>
      </c>
      <c r="BE6" s="120">
        <v>57</v>
      </c>
      <c r="BF6" s="119">
        <v>58</v>
      </c>
      <c r="BG6" s="119">
        <v>59</v>
      </c>
      <c r="BH6" s="120">
        <v>60</v>
      </c>
      <c r="BI6" s="119">
        <v>61</v>
      </c>
      <c r="BJ6" s="123">
        <v>62</v>
      </c>
      <c r="BK6" s="124">
        <v>63</v>
      </c>
      <c r="BL6" s="119">
        <v>64</v>
      </c>
      <c r="BM6" s="119">
        <v>65</v>
      </c>
      <c r="BN6" s="120">
        <v>66</v>
      </c>
      <c r="BO6" s="123">
        <v>67</v>
      </c>
      <c r="BP6" s="122">
        <v>68</v>
      </c>
      <c r="BQ6" s="120">
        <v>69</v>
      </c>
      <c r="BR6" s="119">
        <v>70</v>
      </c>
      <c r="BS6" s="119">
        <v>71</v>
      </c>
      <c r="BT6" s="121">
        <v>72</v>
      </c>
      <c r="BU6" s="122">
        <v>73</v>
      </c>
      <c r="BV6" s="119">
        <v>74</v>
      </c>
      <c r="BW6" s="120">
        <v>75</v>
      </c>
      <c r="BX6" s="119">
        <v>76</v>
      </c>
      <c r="BY6" s="123">
        <v>77</v>
      </c>
      <c r="BZ6" s="124">
        <v>78</v>
      </c>
      <c r="CA6" s="119">
        <v>79</v>
      </c>
      <c r="CB6" s="123">
        <v>80</v>
      </c>
      <c r="CC6" s="124">
        <v>81</v>
      </c>
      <c r="CD6" s="119">
        <v>82</v>
      </c>
      <c r="CE6" s="119">
        <v>83</v>
      </c>
      <c r="CF6" s="120">
        <v>84</v>
      </c>
      <c r="CG6" s="123">
        <v>85</v>
      </c>
      <c r="CH6" s="122">
        <v>86</v>
      </c>
      <c r="CI6" s="120">
        <v>87</v>
      </c>
      <c r="CJ6" s="123">
        <v>88</v>
      </c>
      <c r="CK6" s="122">
        <v>89</v>
      </c>
      <c r="CL6" s="120">
        <v>90</v>
      </c>
      <c r="CM6" s="123">
        <v>91</v>
      </c>
      <c r="CN6" s="122">
        <v>92</v>
      </c>
      <c r="CO6" s="120">
        <v>93</v>
      </c>
      <c r="CP6" s="123">
        <v>94</v>
      </c>
      <c r="CQ6" s="122">
        <v>95</v>
      </c>
      <c r="CR6" s="120">
        <v>96</v>
      </c>
      <c r="CS6" s="123">
        <v>97</v>
      </c>
      <c r="CT6" s="122">
        <v>98</v>
      </c>
      <c r="CU6" s="120">
        <v>99</v>
      </c>
      <c r="CV6" s="119">
        <v>100</v>
      </c>
      <c r="CW6" s="123">
        <v>101</v>
      </c>
      <c r="CX6" s="124">
        <v>102</v>
      </c>
      <c r="CY6" s="119">
        <v>103</v>
      </c>
      <c r="CZ6" s="123">
        <v>104</v>
      </c>
      <c r="DA6" s="124">
        <v>105</v>
      </c>
      <c r="DB6" s="119">
        <v>106</v>
      </c>
      <c r="DC6" s="119">
        <v>107</v>
      </c>
      <c r="DD6" s="120">
        <v>108</v>
      </c>
      <c r="DE6" s="123">
        <v>109</v>
      </c>
      <c r="DF6" s="122">
        <v>110</v>
      </c>
      <c r="DG6" s="120">
        <v>111</v>
      </c>
      <c r="DH6" s="119">
        <v>112</v>
      </c>
      <c r="DI6" s="119">
        <v>113</v>
      </c>
      <c r="DJ6" s="120">
        <v>114</v>
      </c>
      <c r="DK6" s="123">
        <v>115</v>
      </c>
      <c r="DL6" s="122">
        <v>116</v>
      </c>
      <c r="DM6" s="120">
        <v>117</v>
      </c>
      <c r="DN6" s="119">
        <v>118</v>
      </c>
      <c r="DO6" s="119">
        <v>119</v>
      </c>
      <c r="DP6" s="121">
        <v>120</v>
      </c>
      <c r="DQ6" s="122">
        <v>121</v>
      </c>
      <c r="DR6" s="119">
        <v>122</v>
      </c>
      <c r="DS6" s="121">
        <v>123</v>
      </c>
      <c r="DT6" s="122">
        <v>124</v>
      </c>
      <c r="DU6" s="119">
        <v>125</v>
      </c>
      <c r="DV6" s="120">
        <v>126</v>
      </c>
      <c r="DW6" s="119">
        <v>127</v>
      </c>
      <c r="DX6" s="123">
        <v>128</v>
      </c>
      <c r="DY6" s="124">
        <v>129</v>
      </c>
      <c r="DZ6" s="119">
        <v>130</v>
      </c>
      <c r="EA6" s="123">
        <v>131</v>
      </c>
      <c r="EB6" s="124">
        <v>132</v>
      </c>
      <c r="EC6" s="119">
        <v>133</v>
      </c>
      <c r="ED6" s="119">
        <v>134</v>
      </c>
      <c r="EE6" s="121">
        <v>135</v>
      </c>
      <c r="EF6" s="122">
        <v>136</v>
      </c>
      <c r="EG6" s="119">
        <v>137</v>
      </c>
      <c r="EH6" s="121">
        <v>138</v>
      </c>
      <c r="EI6" s="122">
        <v>139</v>
      </c>
      <c r="EJ6" s="119">
        <v>140</v>
      </c>
      <c r="EK6" s="121">
        <v>141</v>
      </c>
      <c r="EL6" s="122">
        <v>142</v>
      </c>
      <c r="EM6" s="119">
        <v>143</v>
      </c>
      <c r="EN6" s="121">
        <v>144</v>
      </c>
      <c r="EO6" s="122">
        <v>145</v>
      </c>
      <c r="EP6" s="119">
        <v>146</v>
      </c>
      <c r="EQ6" s="120">
        <v>147</v>
      </c>
      <c r="ER6" s="119">
        <v>148</v>
      </c>
      <c r="ES6" s="123">
        <v>149</v>
      </c>
      <c r="ET6" s="124">
        <v>150</v>
      </c>
      <c r="EU6" s="119">
        <v>151</v>
      </c>
      <c r="EV6" s="119">
        <v>152</v>
      </c>
      <c r="EW6" s="120">
        <v>153</v>
      </c>
      <c r="EX6" s="123">
        <v>154</v>
      </c>
      <c r="EY6" s="122">
        <v>155</v>
      </c>
      <c r="EZ6" s="120">
        <v>156</v>
      </c>
      <c r="FA6" s="119">
        <v>157</v>
      </c>
      <c r="FB6" s="123">
        <v>158</v>
      </c>
      <c r="FC6" s="124">
        <v>159</v>
      </c>
      <c r="FD6" s="119">
        <v>160</v>
      </c>
      <c r="FE6" s="119">
        <v>161</v>
      </c>
      <c r="FF6" s="121">
        <v>162</v>
      </c>
      <c r="FG6" s="122">
        <v>163</v>
      </c>
      <c r="FH6" s="119">
        <v>164</v>
      </c>
      <c r="FI6" s="121">
        <v>165</v>
      </c>
      <c r="FJ6" s="122">
        <v>166</v>
      </c>
      <c r="FK6" s="119">
        <v>167</v>
      </c>
      <c r="FL6" s="120">
        <v>168</v>
      </c>
      <c r="FM6" s="119">
        <v>169</v>
      </c>
      <c r="FN6" s="119">
        <v>170</v>
      </c>
      <c r="FO6" s="120">
        <v>171</v>
      </c>
      <c r="FP6" s="119">
        <v>172</v>
      </c>
      <c r="FQ6" s="119">
        <v>173</v>
      </c>
      <c r="FR6" s="120">
        <v>174</v>
      </c>
      <c r="FS6" s="119">
        <v>175</v>
      </c>
      <c r="FT6" s="119">
        <v>176</v>
      </c>
      <c r="FU6" s="120">
        <v>177</v>
      </c>
      <c r="FV6" s="119">
        <v>178</v>
      </c>
      <c r="FW6" s="119">
        <v>179</v>
      </c>
      <c r="FX6" s="120">
        <v>180</v>
      </c>
      <c r="FY6" s="119">
        <v>181</v>
      </c>
      <c r="FZ6" s="119">
        <v>182</v>
      </c>
      <c r="GA6" s="120">
        <v>183</v>
      </c>
      <c r="GB6" s="119">
        <v>184</v>
      </c>
      <c r="GC6" s="119">
        <v>185</v>
      </c>
      <c r="GD6" s="120">
        <v>186</v>
      </c>
      <c r="GE6" s="119">
        <v>187</v>
      </c>
      <c r="GF6" s="119">
        <v>188</v>
      </c>
      <c r="GG6" s="120">
        <v>189</v>
      </c>
      <c r="GH6" s="119">
        <v>190</v>
      </c>
      <c r="GI6" s="119">
        <v>191</v>
      </c>
      <c r="GJ6" s="120">
        <v>192</v>
      </c>
      <c r="GK6" s="119">
        <v>193</v>
      </c>
      <c r="GL6" s="119">
        <v>194</v>
      </c>
      <c r="GM6" s="120">
        <v>195</v>
      </c>
      <c r="GN6" s="119">
        <v>196</v>
      </c>
      <c r="GO6" s="119">
        <v>197</v>
      </c>
      <c r="GP6" s="120">
        <v>198</v>
      </c>
      <c r="GQ6" s="119">
        <v>199</v>
      </c>
      <c r="GR6" s="119">
        <v>200</v>
      </c>
      <c r="GS6" s="120">
        <v>201</v>
      </c>
      <c r="GT6" s="119">
        <v>202</v>
      </c>
      <c r="GU6" s="119">
        <v>203</v>
      </c>
      <c r="GV6" s="119">
        <v>204</v>
      </c>
      <c r="GW6" s="119">
        <v>205</v>
      </c>
      <c r="GX6" s="119">
        <v>206</v>
      </c>
    </row>
    <row r="7" spans="1:206" s="9" customFormat="1" ht="15.75" x14ac:dyDescent="0.25">
      <c r="A7" s="126">
        <v>1</v>
      </c>
      <c r="B7" s="127" t="s">
        <v>164</v>
      </c>
      <c r="C7" s="128">
        <v>9893.9560000000001</v>
      </c>
      <c r="D7" s="128">
        <v>11770.9</v>
      </c>
      <c r="E7" s="129">
        <f>D7/C7*100</f>
        <v>118.97061195744149</v>
      </c>
      <c r="F7" s="130">
        <f>RANK(E7,$E$7:$E$23)</f>
        <v>3</v>
      </c>
      <c r="G7" s="131">
        <v>0.12</v>
      </c>
      <c r="H7" s="132">
        <v>13400.19</v>
      </c>
      <c r="I7" s="133">
        <v>11770.9</v>
      </c>
      <c r="J7" s="134">
        <f t="shared" ref="J7:J24" si="0">I7/H7*100</f>
        <v>87.841291802578908</v>
      </c>
      <c r="K7" s="134">
        <f>ABS(J7-K5)</f>
        <v>12.158708197421092</v>
      </c>
      <c r="L7" s="135">
        <f>RANK(K7,$K$7:$K$23,1)</f>
        <v>14</v>
      </c>
      <c r="M7" s="136">
        <v>0.1</v>
      </c>
      <c r="N7" s="137">
        <v>13118.672999999999</v>
      </c>
      <c r="O7" s="138">
        <f>AV7</f>
        <v>3724</v>
      </c>
      <c r="P7" s="139">
        <f>N7/O7</f>
        <v>3.5227371106337269</v>
      </c>
      <c r="Q7" s="135">
        <f t="shared" ref="Q7:Q23" si="1">RANK(P7,$P$7:$P$23)</f>
        <v>3</v>
      </c>
      <c r="R7" s="136">
        <v>0.1</v>
      </c>
      <c r="S7" s="137">
        <v>27596.083629999997</v>
      </c>
      <c r="T7" s="128">
        <v>26433.694600000003</v>
      </c>
      <c r="U7" s="134">
        <f t="shared" ref="U7:U24" si="2">T7/S7*100</f>
        <v>95.787847849771154</v>
      </c>
      <c r="V7" s="135">
        <f t="shared" ref="V7:V23" si="3">RANK(U7,$U$7:$U$23)</f>
        <v>11</v>
      </c>
      <c r="W7" s="136">
        <v>0.1</v>
      </c>
      <c r="X7" s="137">
        <v>24164.3763</v>
      </c>
      <c r="Y7" s="140">
        <v>2788.14786</v>
      </c>
      <c r="Z7" s="134">
        <f t="shared" ref="Z7:Z24" si="4">Y7/X7*100</f>
        <v>11.538257083010249</v>
      </c>
      <c r="AA7" s="130">
        <f t="shared" ref="AA7:AA23" si="5">RANK(Z7,$Z$7:$Z$23,1)</f>
        <v>6</v>
      </c>
      <c r="AB7" s="136">
        <v>0.1</v>
      </c>
      <c r="AC7" s="141">
        <f>T7</f>
        <v>26433.694600000003</v>
      </c>
      <c r="AD7" s="142">
        <v>0</v>
      </c>
      <c r="AE7" s="129">
        <f t="shared" ref="AE7:AE24" si="6">AD7/AC7*100</f>
        <v>0</v>
      </c>
      <c r="AF7" s="130">
        <f t="shared" ref="AF7:AF23" si="7">RANK(AE7,$AE$7:$AE$23)</f>
        <v>15</v>
      </c>
      <c r="AG7" s="131">
        <v>0.12</v>
      </c>
      <c r="AH7" s="143">
        <v>0</v>
      </c>
      <c r="AI7" s="142">
        <f>S7</f>
        <v>27596.083629999997</v>
      </c>
      <c r="AJ7" s="144">
        <f t="shared" ref="AJ7:AJ24" si="8">AH7/AI7*100</f>
        <v>0</v>
      </c>
      <c r="AK7" s="145">
        <f t="shared" ref="AK7:AK23" si="9">RANK(AJ7,$AJ$7:$AJ$23,1)</f>
        <v>1</v>
      </c>
      <c r="AL7" s="146">
        <v>0.08</v>
      </c>
      <c r="AM7" s="147">
        <v>1.3000983333333334</v>
      </c>
      <c r="AN7" s="142">
        <f>D7</f>
        <v>11770.9</v>
      </c>
      <c r="AO7" s="148">
        <f t="shared" ref="AO7:AO23" si="10">AM7/AN7*100</f>
        <v>1.1045020629971654E-2</v>
      </c>
      <c r="AP7" s="145">
        <f t="shared" ref="AP7:AP23" si="11">RANK(AO7,$AO$7:$AO$23,1)</f>
        <v>14</v>
      </c>
      <c r="AQ7" s="146">
        <v>0.08</v>
      </c>
      <c r="AR7" s="149">
        <f>G7+M7+R7+W7+AB7+AG7+AL7+AQ7</f>
        <v>0.79999999999999993</v>
      </c>
      <c r="AS7" s="150">
        <f>(F7*G7+L7*M7+Q7*R7+V7*W7+AA7*AB7+AF7*AG7+AK7*AL7+AP7*AQ7)</f>
        <v>6.7600000000000007</v>
      </c>
      <c r="AT7" s="151">
        <f>RANK(AS7,$AS$7:$AS$23,1)</f>
        <v>9</v>
      </c>
      <c r="AU7" s="152">
        <v>3780</v>
      </c>
      <c r="AV7" s="138">
        <v>3724</v>
      </c>
      <c r="AW7" s="134">
        <f t="shared" ref="AW7:AW24" si="12">AV7/AU7*100</f>
        <v>98.518518518518519</v>
      </c>
      <c r="AX7" s="135">
        <f t="shared" ref="AX7:AX23" si="13">RANK(AW7,$AW$7:$AW$23)</f>
        <v>16</v>
      </c>
      <c r="AY7" s="153">
        <v>0.12</v>
      </c>
      <c r="AZ7" s="154">
        <v>21</v>
      </c>
      <c r="BA7" s="129">
        <f t="shared" ref="BA7:BA23" si="14">AZ7/31</f>
        <v>0.67741935483870963</v>
      </c>
      <c r="BB7" s="130">
        <f t="shared" ref="BB7:BB23" si="15">RANK(BA7,$BA$7:$BA$23)</f>
        <v>11</v>
      </c>
      <c r="BC7" s="131">
        <v>0.12</v>
      </c>
      <c r="BD7" s="141">
        <v>3251.8</v>
      </c>
      <c r="BE7" s="126">
        <v>7.2</v>
      </c>
      <c r="BF7" s="142">
        <f t="shared" ref="BF7:BF23" si="16">BD7/BE7/12*1000</f>
        <v>37636.574074074073</v>
      </c>
      <c r="BG7" s="155">
        <f>(BF7/33717*100)</f>
        <v>111.62491939992904</v>
      </c>
      <c r="BH7" s="156">
        <f>ABS(BG7-BH5)</f>
        <v>11.624919399929041</v>
      </c>
      <c r="BI7" s="130">
        <f>RANK(BH7,$BH$7:$BH$23,1)</f>
        <v>14</v>
      </c>
      <c r="BJ7" s="131">
        <v>0.15</v>
      </c>
      <c r="BK7" s="157">
        <v>17</v>
      </c>
      <c r="BL7" s="158">
        <v>12</v>
      </c>
      <c r="BM7" s="159">
        <f>BK7/BL7*100</f>
        <v>141.66666666666669</v>
      </c>
      <c r="BN7" s="160">
        <f>RANK(BM7,$BM$7:$BM$23,1)</f>
        <v>10</v>
      </c>
      <c r="BO7" s="153">
        <v>0.11</v>
      </c>
      <c r="BP7" s="161">
        <v>11</v>
      </c>
      <c r="BQ7" s="158">
        <v>35</v>
      </c>
      <c r="BR7" s="134">
        <f t="shared" ref="BR7:BR24" si="17">BP7/BQ7*100</f>
        <v>31.428571428571427</v>
      </c>
      <c r="BS7" s="135">
        <f t="shared" ref="BS7:BS23" si="18">RANK(BR7,$BR$7:$BR$23)</f>
        <v>4</v>
      </c>
      <c r="BT7" s="153">
        <v>0.03</v>
      </c>
      <c r="BU7" s="161">
        <v>2</v>
      </c>
      <c r="BV7" s="158">
        <v>3</v>
      </c>
      <c r="BW7" s="134">
        <f t="shared" ref="BW7:BW24" si="19">BU7/BV7*100</f>
        <v>66.666666666666657</v>
      </c>
      <c r="BX7" s="135">
        <f t="shared" ref="BX7:BX23" si="20">RANK(BW7,$BW$7:$BW$23)</f>
        <v>15</v>
      </c>
      <c r="BY7" s="153">
        <v>7.0000000000000007E-2</v>
      </c>
      <c r="BZ7" s="162">
        <f>AY7+BC7+BJ7+BO7+BT7+BY7</f>
        <v>0.60000000000000009</v>
      </c>
      <c r="CA7" s="150">
        <f>(AX7*AY7+BB7*BC7+BI7*BJ7+BN7*BO7+BS7*BT7+BX7*BY7)</f>
        <v>7.6099999999999994</v>
      </c>
      <c r="CB7" s="163">
        <f>RANK(CA7,$CA$7:$CA$23,1)</f>
        <v>17</v>
      </c>
      <c r="CC7" s="164"/>
      <c r="CD7" s="165"/>
      <c r="CE7" s="166">
        <v>0</v>
      </c>
      <c r="CF7" s="135">
        <f>RANK(CE7,$CE$7:$CE$23,1)</f>
        <v>1</v>
      </c>
      <c r="CG7" s="131">
        <v>0.02</v>
      </c>
      <c r="CH7" s="167">
        <v>0.33700000000000002</v>
      </c>
      <c r="CI7" s="130">
        <f t="shared" ref="CI7:CI23" si="21">RANK(CH7,$CH$7:$CH$23,1)</f>
        <v>7</v>
      </c>
      <c r="CJ7" s="131">
        <v>0.15</v>
      </c>
      <c r="CK7" s="134">
        <v>88.07</v>
      </c>
      <c r="CL7" s="135">
        <f>RANK(CK7,$CK$7:$CK$23)</f>
        <v>3</v>
      </c>
      <c r="CM7" s="153">
        <v>0.08</v>
      </c>
      <c r="CN7" s="161">
        <v>3</v>
      </c>
      <c r="CO7" s="135">
        <f>RANK(CN7,$CN$7:$CN$23)</f>
        <v>13</v>
      </c>
      <c r="CP7" s="153">
        <v>0.15</v>
      </c>
      <c r="CQ7" s="168">
        <f t="shared" ref="CQ7:CQ23" si="22">CG7+CJ7+CM7+CP7</f>
        <v>0.4</v>
      </c>
      <c r="CR7" s="150">
        <f>(CF7*CG7+CI7*CJ7+CL7*CM7+CO7*CP7)</f>
        <v>3.26</v>
      </c>
      <c r="CS7" s="151">
        <f>RANK(CR7,$CR$7:$CR$23,1)</f>
        <v>8</v>
      </c>
      <c r="CT7" s="152">
        <v>3</v>
      </c>
      <c r="CU7" s="134">
        <v>1</v>
      </c>
      <c r="CV7" s="158">
        <f t="shared" ref="CV7:CV23" si="23">RANK(CU7,$CU$7:$CU$23)</f>
        <v>1</v>
      </c>
      <c r="CW7" s="136">
        <v>0.1</v>
      </c>
      <c r="CX7" s="161">
        <v>0</v>
      </c>
      <c r="CY7" s="135">
        <f t="shared" ref="CY7:CY23" si="24">RANK(CX7,$CX$7:$CX$23)</f>
        <v>15</v>
      </c>
      <c r="CZ7" s="153">
        <v>0.15</v>
      </c>
      <c r="DA7" s="161">
        <v>34</v>
      </c>
      <c r="DB7" s="158">
        <v>33</v>
      </c>
      <c r="DC7" s="158">
        <f t="shared" ref="DC7:DC24" si="25">DB7/DA7*100</f>
        <v>97.058823529411768</v>
      </c>
      <c r="DD7" s="135">
        <f t="shared" ref="DD7:DD23" si="26">RANK(DC7,$DC$7:$DC$23)</f>
        <v>10</v>
      </c>
      <c r="DE7" s="153">
        <v>0.15</v>
      </c>
      <c r="DF7" s="169">
        <v>181</v>
      </c>
      <c r="DG7" s="158">
        <v>12</v>
      </c>
      <c r="DH7" s="134">
        <f>DG7/DF7*100</f>
        <v>6.6298342541436464</v>
      </c>
      <c r="DI7" s="134">
        <f>100-DH7</f>
        <v>93.370165745856355</v>
      </c>
      <c r="DJ7" s="135">
        <f>RANK(DI7,$DI$7:$DI$23,1)</f>
        <v>17</v>
      </c>
      <c r="DK7" s="153">
        <v>0.05</v>
      </c>
      <c r="DL7" s="168">
        <v>0</v>
      </c>
      <c r="DM7" s="134">
        <v>0</v>
      </c>
      <c r="DN7" s="134">
        <v>0</v>
      </c>
      <c r="DO7" s="158">
        <f>RANK(DN7,$DN$7:$DN$23)</f>
        <v>7</v>
      </c>
      <c r="DP7" s="153">
        <v>0.05</v>
      </c>
      <c r="DQ7" s="168">
        <f>CW7+CZ7+DE7+DK7+DP7</f>
        <v>0.5</v>
      </c>
      <c r="DR7" s="150">
        <f>(CV7*CW7+CY7*CZ7+DD7*DE7+DJ7*DK7+DO7*DP7)</f>
        <v>5.05</v>
      </c>
      <c r="DS7" s="163">
        <f>RANK(DR7,$DR$7:$DR$23,1)</f>
        <v>17</v>
      </c>
      <c r="DT7" s="170">
        <v>0</v>
      </c>
      <c r="DU7" s="171">
        <v>57</v>
      </c>
      <c r="DV7" s="172">
        <f t="shared" ref="DV7:DV22" si="27">DT7/DU7*100</f>
        <v>0</v>
      </c>
      <c r="DW7" s="173">
        <f>RANK(DV7,$DV$7:$DV$23)</f>
        <v>16</v>
      </c>
      <c r="DX7" s="131">
        <v>0.2</v>
      </c>
      <c r="DY7" s="162">
        <v>12</v>
      </c>
      <c r="DZ7" s="135">
        <f t="shared" ref="DZ7:DZ23" si="28">RANK(DY7,$DY$7:$DY$23)</f>
        <v>16</v>
      </c>
      <c r="EA7" s="153">
        <v>0.2</v>
      </c>
      <c r="EB7" s="161">
        <v>26</v>
      </c>
      <c r="EC7" s="134">
        <f t="shared" ref="EC7:EC23" si="29">EB7/26*100</f>
        <v>100</v>
      </c>
      <c r="ED7" s="135">
        <f t="shared" ref="ED7:ED23" si="30">RANK(EC7,$EC$7:$EC$23)</f>
        <v>1</v>
      </c>
      <c r="EE7" s="136">
        <v>0.1</v>
      </c>
      <c r="EF7" s="161">
        <v>1</v>
      </c>
      <c r="EG7" s="135">
        <f t="shared" ref="EG7:EG23" si="31">RANK(EF7,$EF$7:$EF$23)</f>
        <v>1</v>
      </c>
      <c r="EH7" s="153">
        <v>0.05</v>
      </c>
      <c r="EI7" s="161">
        <v>1</v>
      </c>
      <c r="EJ7" s="135">
        <f t="shared" ref="EJ7:EJ23" si="32">RANK(EI7,$EI$7:$EI$23)</f>
        <v>1</v>
      </c>
      <c r="EK7" s="153">
        <v>0.05</v>
      </c>
      <c r="EL7" s="161">
        <v>0</v>
      </c>
      <c r="EM7" s="135">
        <f t="shared" ref="EM7:EM23" si="33">RANK(EL7,$EL$7:$EL$23)</f>
        <v>2</v>
      </c>
      <c r="EN7" s="174">
        <v>0.1</v>
      </c>
      <c r="EO7" s="161">
        <v>7</v>
      </c>
      <c r="EP7" s="158">
        <v>13</v>
      </c>
      <c r="EQ7" s="134">
        <f t="shared" ref="EQ7:EQ24" si="34">EO7/EP7*100</f>
        <v>53.846153846153847</v>
      </c>
      <c r="ER7" s="135">
        <f t="shared" ref="ER7:ER23" si="35">RANK(EQ7,$EQ$7:$EQ$23,1)</f>
        <v>15</v>
      </c>
      <c r="ES7" s="153">
        <v>0.05</v>
      </c>
      <c r="ET7" s="134">
        <v>21.957671957671955</v>
      </c>
      <c r="EU7" s="134">
        <v>23.361976369495167</v>
      </c>
      <c r="EV7" s="134">
        <f>EU7/ET7*100</f>
        <v>106.39550683938764</v>
      </c>
      <c r="EW7" s="135">
        <f t="shared" ref="EW7:EW23" si="36">RANK(EV7,$EV$7:$EV$23)</f>
        <v>4</v>
      </c>
      <c r="EX7" s="153">
        <v>0.15</v>
      </c>
      <c r="EY7" s="161">
        <v>0</v>
      </c>
      <c r="EZ7" s="134">
        <f>EY7/AV7*1000</f>
        <v>0</v>
      </c>
      <c r="FA7" s="135">
        <f t="shared" ref="FA7:FA23" si="37">RANK(EZ7,$EZ$7:$EZ$23)</f>
        <v>8</v>
      </c>
      <c r="FB7" s="153">
        <v>0.05</v>
      </c>
      <c r="FC7" s="161">
        <v>0</v>
      </c>
      <c r="FD7" s="134">
        <f>FC7/AV7*1000</f>
        <v>0</v>
      </c>
      <c r="FE7" s="135">
        <f t="shared" ref="FE7:FE23" si="38">RANK(FD7,$FD$7:$FD$23)</f>
        <v>8</v>
      </c>
      <c r="FF7" s="153">
        <v>0.05</v>
      </c>
      <c r="FG7" s="175">
        <v>0.92</v>
      </c>
      <c r="FH7" s="135">
        <f>RANK(FG7,$FG$7:$FG$23)</f>
        <v>10</v>
      </c>
      <c r="FI7" s="174">
        <v>0.1</v>
      </c>
      <c r="FJ7" s="175">
        <v>0.63</v>
      </c>
      <c r="FK7" s="135">
        <f>RANK(FJ7,$FJ$7:$FJ$23)</f>
        <v>15</v>
      </c>
      <c r="FL7" s="153">
        <v>0.1</v>
      </c>
      <c r="FM7" s="175">
        <v>1</v>
      </c>
      <c r="FN7" s="158">
        <f>RANK(FM7,$FM$7:$FM$23)</f>
        <v>1</v>
      </c>
      <c r="FO7" s="153">
        <v>0.1</v>
      </c>
      <c r="FP7" s="175">
        <v>0.7</v>
      </c>
      <c r="FQ7" s="135">
        <f>RANK(FP7,$FP$7:$FP$23)</f>
        <v>4</v>
      </c>
      <c r="FR7" s="153">
        <v>0.1</v>
      </c>
      <c r="FS7" s="176">
        <f t="shared" ref="FS7:FS23" si="39">DX7+EA7+EE7+EH7+EK7+EN7+ES7+EX7+FB7+FF7+FI7+FL7+FO7+FR7</f>
        <v>1.4000000000000006</v>
      </c>
      <c r="FT7" s="150">
        <f>(DW7*DX7+DZ7*EA7+ED7*EE7+EG7*EH7+EJ7*EK7+EM7*EN7+ER7*ES7+EW7*EX7+FA7*FB7+FE7*FF7+FH7*FI7+FK7*FL7+FN7*FO7+FQ7*FR7)</f>
        <v>11.950000000000001</v>
      </c>
      <c r="FU7" s="130">
        <f>RANK(FT7,$FT$7:$FT$23,1)</f>
        <v>15</v>
      </c>
      <c r="FV7" s="126">
        <v>30</v>
      </c>
      <c r="FW7" s="126">
        <v>30</v>
      </c>
      <c r="FX7" s="177">
        <f t="shared" ref="FX7:FX23" si="40">FV7/FW7*100</f>
        <v>100</v>
      </c>
      <c r="FY7" s="130">
        <f t="shared" ref="FY7:FY23" si="41">RANK(FX7,$FX$7:$FX$23)</f>
        <v>1</v>
      </c>
      <c r="FZ7" s="178">
        <v>0.1</v>
      </c>
      <c r="GA7" s="179">
        <f>45/AU7*1000</f>
        <v>11.904761904761903</v>
      </c>
      <c r="GB7" s="129">
        <f>33/AV7*1000</f>
        <v>8.861439312567132</v>
      </c>
      <c r="GC7" s="168">
        <f>GB7/GA7*100</f>
        <v>74.436090225563916</v>
      </c>
      <c r="GD7" s="135">
        <f t="shared" ref="GD7:GD23" si="42">RANK(GC7,$GC$7:$GC$23,1)</f>
        <v>6</v>
      </c>
      <c r="GE7" s="136">
        <v>0.1</v>
      </c>
      <c r="GF7" s="180">
        <v>31</v>
      </c>
      <c r="GG7" s="181">
        <v>31</v>
      </c>
      <c r="GH7" s="134">
        <f t="shared" ref="GH7:GH24" si="43">GG7/GF7*100</f>
        <v>100</v>
      </c>
      <c r="GI7" s="135">
        <v>1</v>
      </c>
      <c r="GJ7" s="182">
        <v>0.1</v>
      </c>
      <c r="GK7" s="161">
        <v>18</v>
      </c>
      <c r="GL7" s="183">
        <f>GK7/AV7*1000</f>
        <v>4.8335123523093451</v>
      </c>
      <c r="GM7" s="135">
        <f>RANK(GL7,$GL$7:$GL$23,1)</f>
        <v>15</v>
      </c>
      <c r="GN7" s="136">
        <v>0.1</v>
      </c>
      <c r="GO7" s="161">
        <v>0</v>
      </c>
      <c r="GP7" s="134">
        <f t="shared" ref="GP7:GP24" si="44">GO7/AV7*1000</f>
        <v>0</v>
      </c>
      <c r="GQ7" s="135">
        <f t="shared" ref="GQ7:GQ23" si="45">RANK(GP7,$GP$7:$GP$23,1)</f>
        <v>1</v>
      </c>
      <c r="GR7" s="182">
        <v>0.1</v>
      </c>
      <c r="GS7" s="184">
        <f t="shared" ref="GS7:GS23" si="46">FZ7+GE7+GJ7+GN7+GR7</f>
        <v>0.5</v>
      </c>
      <c r="GT7" s="150">
        <f>(FY7*FZ7+GD7*GE7+GI7*GJ7+GM7*GN7+GQ7*GR7)</f>
        <v>2.4</v>
      </c>
      <c r="GU7" s="163">
        <f>RANK(GT7,$GT$7:$GT$23,1)</f>
        <v>8</v>
      </c>
      <c r="GV7" s="185">
        <f t="shared" ref="GV7:GV23" si="47">(AT7*AR7+CB7*BZ7+CS7*CQ7+DS7*DQ7+FU7*FS7+GU7*GS7)/6</f>
        <v>9.0166666666666675</v>
      </c>
      <c r="GW7" s="186">
        <f>RANK(GV7,$GV$7:$GV$23,1)</f>
        <v>16</v>
      </c>
      <c r="GX7" s="186" t="s">
        <v>165</v>
      </c>
    </row>
    <row r="8" spans="1:206" s="9" customFormat="1" ht="15.75" x14ac:dyDescent="0.25">
      <c r="A8" s="187">
        <v>2</v>
      </c>
      <c r="B8" s="188" t="s">
        <v>166</v>
      </c>
      <c r="C8" s="189">
        <v>14655.755999999999</v>
      </c>
      <c r="D8" s="189">
        <v>13566.51</v>
      </c>
      <c r="E8" s="190">
        <f t="shared" ref="E8:E24" si="48">D8/C8*100</f>
        <v>92.567793841545949</v>
      </c>
      <c r="F8" s="191">
        <f t="shared" ref="F8:F23" si="49">RANK(E8,$E$7:$E$23)</f>
        <v>16</v>
      </c>
      <c r="G8" s="192">
        <v>0.12</v>
      </c>
      <c r="H8" s="193">
        <v>12846.71</v>
      </c>
      <c r="I8" s="194">
        <v>13566.51</v>
      </c>
      <c r="J8" s="195">
        <f t="shared" si="0"/>
        <v>105.60299096033148</v>
      </c>
      <c r="K8" s="195">
        <f>ABS(J8-K5)</f>
        <v>5.602990960331482</v>
      </c>
      <c r="L8" s="196">
        <f t="shared" ref="L8:L23" si="50">RANK(K8,$K$7:$K$23,1)</f>
        <v>10</v>
      </c>
      <c r="M8" s="197">
        <v>0.1</v>
      </c>
      <c r="N8" s="198">
        <v>15094.838999999998</v>
      </c>
      <c r="O8" s="199">
        <f t="shared" ref="O8:O23" si="51">AV8</f>
        <v>6523</v>
      </c>
      <c r="P8" s="200">
        <f t="shared" ref="P8:P24" si="52">N8/O8</f>
        <v>2.3140945883795796</v>
      </c>
      <c r="Q8" s="196">
        <f t="shared" si="1"/>
        <v>8</v>
      </c>
      <c r="R8" s="197">
        <v>0.1</v>
      </c>
      <c r="S8" s="198">
        <v>33655.956409999999</v>
      </c>
      <c r="T8" s="189">
        <v>31388.397780000003</v>
      </c>
      <c r="U8" s="195">
        <f t="shared" si="2"/>
        <v>93.262533970580463</v>
      </c>
      <c r="V8" s="196">
        <f t="shared" si="3"/>
        <v>12</v>
      </c>
      <c r="W8" s="197">
        <v>0.1</v>
      </c>
      <c r="X8" s="198">
        <v>30836.997780000002</v>
      </c>
      <c r="Y8" s="201">
        <v>4967.8872000000001</v>
      </c>
      <c r="Z8" s="195">
        <f t="shared" si="4"/>
        <v>16.110151952671703</v>
      </c>
      <c r="AA8" s="191">
        <f t="shared" si="5"/>
        <v>12</v>
      </c>
      <c r="AB8" s="197">
        <v>0.1</v>
      </c>
      <c r="AC8" s="202">
        <f t="shared" ref="AC8:AC23" si="53">T8</f>
        <v>31388.397780000003</v>
      </c>
      <c r="AD8" s="203">
        <v>1091.39589</v>
      </c>
      <c r="AE8" s="190">
        <f t="shared" si="6"/>
        <v>3.4770678568863218</v>
      </c>
      <c r="AF8" s="191">
        <f t="shared" si="7"/>
        <v>9</v>
      </c>
      <c r="AG8" s="192">
        <v>0.12</v>
      </c>
      <c r="AH8" s="204">
        <v>0</v>
      </c>
      <c r="AI8" s="203">
        <f t="shared" ref="AI8:AI23" si="54">S8</f>
        <v>33655.956409999999</v>
      </c>
      <c r="AJ8" s="205">
        <f t="shared" si="8"/>
        <v>0</v>
      </c>
      <c r="AK8" s="206">
        <f t="shared" si="9"/>
        <v>1</v>
      </c>
      <c r="AL8" s="207">
        <v>0.08</v>
      </c>
      <c r="AM8" s="208">
        <v>0</v>
      </c>
      <c r="AN8" s="203">
        <f t="shared" ref="AN8:AN23" si="55">D8</f>
        <v>13566.51</v>
      </c>
      <c r="AO8" s="209">
        <f t="shared" si="10"/>
        <v>0</v>
      </c>
      <c r="AP8" s="206">
        <f t="shared" si="11"/>
        <v>2</v>
      </c>
      <c r="AQ8" s="207">
        <v>0.08</v>
      </c>
      <c r="AR8" s="210">
        <f t="shared" ref="AR8:AR23" si="56">G8+M8+R8+W8+AB8+AG8+AL8+AQ8</f>
        <v>0.79999999999999993</v>
      </c>
      <c r="AS8" s="211">
        <f t="shared" ref="AS8:AS23" si="57">(F8*G8+L8*M8+Q8*R8+V8*W8+AA8*AB8+AF8*AG8+AK8*AL8+AP8*AQ8)</f>
        <v>7.44</v>
      </c>
      <c r="AT8" s="212">
        <f t="shared" ref="AT8:AT23" si="58">RANK(AS8,$AS$7:$AS$23,1)</f>
        <v>12</v>
      </c>
      <c r="AU8" s="213">
        <v>6557</v>
      </c>
      <c r="AV8" s="199">
        <v>6523</v>
      </c>
      <c r="AW8" s="195">
        <f t="shared" si="12"/>
        <v>99.48147018453561</v>
      </c>
      <c r="AX8" s="196">
        <f t="shared" si="13"/>
        <v>10</v>
      </c>
      <c r="AY8" s="214">
        <v>0.12</v>
      </c>
      <c r="AZ8" s="215">
        <v>26</v>
      </c>
      <c r="BA8" s="190">
        <f t="shared" si="14"/>
        <v>0.83870967741935487</v>
      </c>
      <c r="BB8" s="191">
        <f t="shared" si="15"/>
        <v>7</v>
      </c>
      <c r="BC8" s="192">
        <v>0.12</v>
      </c>
      <c r="BD8" s="202">
        <v>4564.6000000000004</v>
      </c>
      <c r="BE8" s="187">
        <v>11.3</v>
      </c>
      <c r="BF8" s="203">
        <f t="shared" si="16"/>
        <v>33662.241887905599</v>
      </c>
      <c r="BG8" s="216">
        <f t="shared" ref="BG8:BG24" si="59">(BF8/33717*100)</f>
        <v>99.837594945889606</v>
      </c>
      <c r="BH8" s="217">
        <f>ABS(BG8-BH5)</f>
        <v>0.16240505411039408</v>
      </c>
      <c r="BI8" s="191">
        <f t="shared" ref="BI8:BI23" si="60">RANK(BH8,$BH$7:$BH$23,1)</f>
        <v>1</v>
      </c>
      <c r="BJ8" s="192">
        <v>0.15</v>
      </c>
      <c r="BK8" s="218">
        <v>20</v>
      </c>
      <c r="BL8" s="219">
        <v>7</v>
      </c>
      <c r="BM8" s="220">
        <f t="shared" ref="BM8:BM21" si="61">BK8/BL8*100</f>
        <v>285.71428571428572</v>
      </c>
      <c r="BN8" s="221">
        <f t="shared" ref="BN8:BN23" si="62">RANK(BM8,$BM$7:$BM$23,1)</f>
        <v>12</v>
      </c>
      <c r="BO8" s="214">
        <v>0.11</v>
      </c>
      <c r="BP8" s="222">
        <v>10</v>
      </c>
      <c r="BQ8" s="219">
        <v>79</v>
      </c>
      <c r="BR8" s="195">
        <f t="shared" si="17"/>
        <v>12.658227848101266</v>
      </c>
      <c r="BS8" s="196">
        <f t="shared" si="18"/>
        <v>13</v>
      </c>
      <c r="BT8" s="214">
        <v>0.03</v>
      </c>
      <c r="BU8" s="222">
        <v>4</v>
      </c>
      <c r="BV8" s="219">
        <v>4</v>
      </c>
      <c r="BW8" s="195">
        <f t="shared" si="19"/>
        <v>100</v>
      </c>
      <c r="BX8" s="196">
        <f t="shared" si="20"/>
        <v>1</v>
      </c>
      <c r="BY8" s="214">
        <v>7.0000000000000007E-2</v>
      </c>
      <c r="BZ8" s="223">
        <f t="shared" ref="BZ8:BZ23" si="63">AY8+BC8+BJ8+BO8+BT8+BY8</f>
        <v>0.60000000000000009</v>
      </c>
      <c r="CA8" s="211">
        <f t="shared" ref="CA8:CA23" si="64">(AX8*AY8+BB8*BC8+BI8*BJ8+BN8*BO8+BS8*BT8+BX8*BY8)</f>
        <v>3.9699999999999998</v>
      </c>
      <c r="CB8" s="224">
        <f t="shared" ref="CB8:CB23" si="65">RANK(CA8,$CA$7:$CA$23,1)</f>
        <v>4</v>
      </c>
      <c r="CC8" s="225"/>
      <c r="CD8" s="226"/>
      <c r="CE8" s="227">
        <v>0</v>
      </c>
      <c r="CF8" s="196">
        <f>RANK(CE8,$CE$7:$CE$23,1)</f>
        <v>1</v>
      </c>
      <c r="CG8" s="192">
        <v>0.02</v>
      </c>
      <c r="CH8" s="228">
        <v>2.2850000000000001</v>
      </c>
      <c r="CI8" s="191">
        <f t="shared" si="21"/>
        <v>16</v>
      </c>
      <c r="CJ8" s="192">
        <v>0.15</v>
      </c>
      <c r="CK8" s="195">
        <v>85.58</v>
      </c>
      <c r="CL8" s="196">
        <f t="shared" ref="CL8:CL23" si="66">RANK(CK8,$CK$7:$CK$23)</f>
        <v>5</v>
      </c>
      <c r="CM8" s="214">
        <v>0.08</v>
      </c>
      <c r="CN8" s="222">
        <v>23</v>
      </c>
      <c r="CO8" s="196">
        <f t="shared" ref="CO8:CO23" si="67">RANK(CN8,$CN$7:$CN$23)</f>
        <v>4</v>
      </c>
      <c r="CP8" s="214">
        <v>0.15</v>
      </c>
      <c r="CQ8" s="229">
        <f t="shared" si="22"/>
        <v>0.4</v>
      </c>
      <c r="CR8" s="211">
        <f t="shared" ref="CR8:CR23" si="68">(CF8*CG8+CI8*CJ8+CL8*CM8+CO8*CP8)</f>
        <v>3.42</v>
      </c>
      <c r="CS8" s="212">
        <f t="shared" ref="CS8:CS23" si="69">RANK(CR8,$CR$7:$CR$23,1)</f>
        <v>9</v>
      </c>
      <c r="CT8" s="213">
        <v>3</v>
      </c>
      <c r="CU8" s="195">
        <v>1</v>
      </c>
      <c r="CV8" s="219">
        <f t="shared" si="23"/>
        <v>1</v>
      </c>
      <c r="CW8" s="197">
        <v>0.1</v>
      </c>
      <c r="CX8" s="222">
        <v>1</v>
      </c>
      <c r="CY8" s="196">
        <f t="shared" si="24"/>
        <v>1</v>
      </c>
      <c r="CZ8" s="214">
        <v>0.15</v>
      </c>
      <c r="DA8" s="222">
        <v>76</v>
      </c>
      <c r="DB8" s="219">
        <v>73</v>
      </c>
      <c r="DC8" s="219">
        <f t="shared" si="25"/>
        <v>96.05263157894737</v>
      </c>
      <c r="DD8" s="196">
        <f t="shared" si="26"/>
        <v>12</v>
      </c>
      <c r="DE8" s="214">
        <v>0.15</v>
      </c>
      <c r="DF8" s="230">
        <v>300</v>
      </c>
      <c r="DG8" s="219">
        <v>274</v>
      </c>
      <c r="DH8" s="195">
        <f t="shared" ref="DH8:DH23" si="70">DG8/DF8*100</f>
        <v>91.333333333333329</v>
      </c>
      <c r="DI8" s="195">
        <f t="shared" ref="DI8:DI23" si="71">100-DH8</f>
        <v>8.6666666666666714</v>
      </c>
      <c r="DJ8" s="196">
        <f t="shared" ref="DJ8:DJ23" si="72">RANK(DI8,$DI$7:$DI$23,1)</f>
        <v>5</v>
      </c>
      <c r="DK8" s="214">
        <v>0.05</v>
      </c>
      <c r="DL8" s="229">
        <v>0</v>
      </c>
      <c r="DM8" s="195">
        <v>0</v>
      </c>
      <c r="DN8" s="195">
        <v>0</v>
      </c>
      <c r="DO8" s="219">
        <f t="shared" ref="DO8:DO23" si="73">RANK(DN8,$DN$7:$DN$23)</f>
        <v>7</v>
      </c>
      <c r="DP8" s="214">
        <v>0.05</v>
      </c>
      <c r="DQ8" s="229">
        <f t="shared" ref="DQ8:DQ23" si="74">CW8+CZ8+DE8+DK8+DP8</f>
        <v>0.5</v>
      </c>
      <c r="DR8" s="211">
        <f t="shared" ref="DR8:DR23" si="75">(CV8*CW8+CY8*CZ8+DD8*DE8+DJ8*DK8+DO8*DP8)</f>
        <v>2.65</v>
      </c>
      <c r="DS8" s="224">
        <f t="shared" ref="DS8:DS23" si="76">RANK(DR8,$DR$7:$DR$23,1)</f>
        <v>8</v>
      </c>
      <c r="DT8" s="231">
        <v>58</v>
      </c>
      <c r="DU8" s="232">
        <v>58</v>
      </c>
      <c r="DV8" s="233">
        <f t="shared" si="27"/>
        <v>100</v>
      </c>
      <c r="DW8" s="234">
        <f>RANK(DV8,$DV$7:$DV$23)</f>
        <v>1</v>
      </c>
      <c r="DX8" s="192">
        <v>0.2</v>
      </c>
      <c r="DY8" s="223">
        <v>61.1</v>
      </c>
      <c r="DZ8" s="196">
        <f t="shared" si="28"/>
        <v>5</v>
      </c>
      <c r="EA8" s="214">
        <v>0.2</v>
      </c>
      <c r="EB8" s="222">
        <v>26</v>
      </c>
      <c r="EC8" s="195">
        <f t="shared" si="29"/>
        <v>100</v>
      </c>
      <c r="ED8" s="196">
        <f t="shared" si="30"/>
        <v>1</v>
      </c>
      <c r="EE8" s="197">
        <v>0.1</v>
      </c>
      <c r="EF8" s="222">
        <v>1</v>
      </c>
      <c r="EG8" s="196">
        <f t="shared" si="31"/>
        <v>1</v>
      </c>
      <c r="EH8" s="214">
        <v>0.05</v>
      </c>
      <c r="EI8" s="222">
        <v>1</v>
      </c>
      <c r="EJ8" s="196">
        <f t="shared" si="32"/>
        <v>1</v>
      </c>
      <c r="EK8" s="214">
        <v>0.05</v>
      </c>
      <c r="EL8" s="222">
        <v>0</v>
      </c>
      <c r="EM8" s="196">
        <f t="shared" si="33"/>
        <v>2</v>
      </c>
      <c r="EN8" s="235">
        <v>0.1</v>
      </c>
      <c r="EO8" s="222">
        <v>0</v>
      </c>
      <c r="EP8" s="219">
        <v>11</v>
      </c>
      <c r="EQ8" s="195">
        <f t="shared" si="34"/>
        <v>0</v>
      </c>
      <c r="ER8" s="196">
        <f t="shared" si="35"/>
        <v>1</v>
      </c>
      <c r="ES8" s="214">
        <v>0.05</v>
      </c>
      <c r="ET8" s="195">
        <v>22.571297849626351</v>
      </c>
      <c r="EU8" s="195">
        <v>24.988502222903573</v>
      </c>
      <c r="EV8" s="195">
        <f t="shared" ref="EV8:EV23" si="77">EU8/ET8*100</f>
        <v>110.70919532133698</v>
      </c>
      <c r="EW8" s="196">
        <f t="shared" si="36"/>
        <v>3</v>
      </c>
      <c r="EX8" s="214">
        <v>0.15</v>
      </c>
      <c r="EY8" s="222">
        <v>7</v>
      </c>
      <c r="EZ8" s="195">
        <f t="shared" ref="EZ8:EZ23" si="78">EY8/AV8*1000</f>
        <v>1.0731258623332822</v>
      </c>
      <c r="FA8" s="196">
        <f t="shared" si="37"/>
        <v>3</v>
      </c>
      <c r="FB8" s="214">
        <v>0.05</v>
      </c>
      <c r="FC8" s="222">
        <v>6</v>
      </c>
      <c r="FD8" s="195">
        <f t="shared" ref="FD8:FD23" si="79">FC8/AV8*1000</f>
        <v>0.91982216771424197</v>
      </c>
      <c r="FE8" s="196">
        <f t="shared" si="38"/>
        <v>2</v>
      </c>
      <c r="FF8" s="214">
        <v>0.05</v>
      </c>
      <c r="FG8" s="236">
        <v>1</v>
      </c>
      <c r="FH8" s="196">
        <f t="shared" ref="FH8:FH23" si="80">RANK(FG8,$FG$7:$FG$23)</f>
        <v>1</v>
      </c>
      <c r="FI8" s="235">
        <v>0.1</v>
      </c>
      <c r="FJ8" s="236">
        <v>1</v>
      </c>
      <c r="FK8" s="196">
        <f t="shared" ref="FK8:FK23" si="81">RANK(FJ8,$FJ$7:$FJ$23)</f>
        <v>1</v>
      </c>
      <c r="FL8" s="214">
        <v>0.1</v>
      </c>
      <c r="FM8" s="236">
        <v>0.3</v>
      </c>
      <c r="FN8" s="219">
        <f t="shared" ref="FN8:FN23" si="82">RANK(FM8,$FM$7:$FM$23)</f>
        <v>4</v>
      </c>
      <c r="FO8" s="214">
        <v>0.1</v>
      </c>
      <c r="FP8" s="236">
        <v>0</v>
      </c>
      <c r="FQ8" s="196">
        <f t="shared" ref="FQ8:FQ23" si="83">RANK(FP8,$FP$7:$FP$23)</f>
        <v>15</v>
      </c>
      <c r="FR8" s="214">
        <v>0.1</v>
      </c>
      <c r="FS8" s="237">
        <f t="shared" si="39"/>
        <v>1.4000000000000006</v>
      </c>
      <c r="FT8" s="211">
        <f t="shared" ref="FT8:FT23" si="84">(DW8*DX8+DZ8*EA8+ED8*EE8+EG8*EH8+EJ8*EK8+EM8*EN8+ER8*ES8+EW8*EX8+FA8*FB8+FE8*FF8+FH8*FI8+FK8*FL8+FN8*FO8+FQ8*FR8)</f>
        <v>4.45</v>
      </c>
      <c r="FU8" s="191">
        <f t="shared" ref="FU8:FU23" si="85">RANK(FT8,$FT$7:$FT$23,1)</f>
        <v>1</v>
      </c>
      <c r="FV8" s="187">
        <v>27</v>
      </c>
      <c r="FW8" s="187">
        <v>27</v>
      </c>
      <c r="FX8" s="238">
        <f t="shared" si="40"/>
        <v>100</v>
      </c>
      <c r="FY8" s="191">
        <f t="shared" si="41"/>
        <v>1</v>
      </c>
      <c r="FZ8" s="239">
        <v>0.1</v>
      </c>
      <c r="GA8" s="240">
        <f>97/AU8*1000</f>
        <v>14.793350617660515</v>
      </c>
      <c r="GB8" s="190">
        <f>65/AV8*1000</f>
        <v>9.9647401502376205</v>
      </c>
      <c r="GC8" s="229">
        <f t="shared" ref="GC8:GC24" si="86">GB8/GA8*100</f>
        <v>67.359588830008335</v>
      </c>
      <c r="GD8" s="196">
        <f t="shared" si="42"/>
        <v>3</v>
      </c>
      <c r="GE8" s="197">
        <v>0.1</v>
      </c>
      <c r="GF8" s="241">
        <v>46</v>
      </c>
      <c r="GG8" s="242">
        <v>46</v>
      </c>
      <c r="GH8" s="195">
        <f t="shared" si="43"/>
        <v>100</v>
      </c>
      <c r="GI8" s="196">
        <v>1</v>
      </c>
      <c r="GJ8" s="243">
        <v>0.1</v>
      </c>
      <c r="GK8" s="222">
        <v>18</v>
      </c>
      <c r="GL8" s="244">
        <f t="shared" ref="GL8:GL23" si="87">GK8/AV8*1000</f>
        <v>2.7594665031427259</v>
      </c>
      <c r="GM8" s="196">
        <f t="shared" ref="GM8:GM23" si="88">RANK(GL8,$GL$7:$GL$23,1)</f>
        <v>3</v>
      </c>
      <c r="GN8" s="197">
        <v>0.1</v>
      </c>
      <c r="GO8" s="222">
        <v>0</v>
      </c>
      <c r="GP8" s="195">
        <f t="shared" si="44"/>
        <v>0</v>
      </c>
      <c r="GQ8" s="196">
        <f t="shared" si="45"/>
        <v>1</v>
      </c>
      <c r="GR8" s="243">
        <v>0.1</v>
      </c>
      <c r="GS8" s="245">
        <f t="shared" si="46"/>
        <v>0.5</v>
      </c>
      <c r="GT8" s="211">
        <f t="shared" ref="GT8:GT23" si="89">(FY8*FZ8+GD8*GE8+GI8*GJ8+GM8*GN8+GQ8*GR8)</f>
        <v>0.9</v>
      </c>
      <c r="GU8" s="224">
        <f t="shared" ref="GU8:GU23" si="90">RANK(GT8,$GT$7:$GT$23,1)</f>
        <v>1</v>
      </c>
      <c r="GV8" s="246">
        <f t="shared" si="47"/>
        <v>3.5833333333333339</v>
      </c>
      <c r="GW8" s="247">
        <f t="shared" ref="GW8:GW23" si="91">RANK(GV8,$GV$7:$GV$23,1)</f>
        <v>2</v>
      </c>
      <c r="GX8" s="247">
        <v>1</v>
      </c>
    </row>
    <row r="9" spans="1:206" s="9" customFormat="1" ht="17.25" customHeight="1" x14ac:dyDescent="0.25">
      <c r="A9" s="126">
        <v>3</v>
      </c>
      <c r="B9" s="127" t="s">
        <v>167</v>
      </c>
      <c r="C9" s="128">
        <v>34646.819999999992</v>
      </c>
      <c r="D9" s="128">
        <v>37125.15</v>
      </c>
      <c r="E9" s="129">
        <f t="shared" si="48"/>
        <v>107.1531240096494</v>
      </c>
      <c r="F9" s="130">
        <f t="shared" si="49"/>
        <v>9</v>
      </c>
      <c r="G9" s="131">
        <v>0.12</v>
      </c>
      <c r="H9" s="132">
        <v>37043.67</v>
      </c>
      <c r="I9" s="133">
        <v>37125.15</v>
      </c>
      <c r="J9" s="134">
        <f t="shared" si="0"/>
        <v>100.2199566079711</v>
      </c>
      <c r="K9" s="134">
        <f>ABS(J9-K5)</f>
        <v>0.21995660797109906</v>
      </c>
      <c r="L9" s="135">
        <f t="shared" si="50"/>
        <v>2</v>
      </c>
      <c r="M9" s="136">
        <v>0.1</v>
      </c>
      <c r="N9" s="137">
        <v>8721.0169999999998</v>
      </c>
      <c r="O9" s="138">
        <f t="shared" si="51"/>
        <v>9713</v>
      </c>
      <c r="P9" s="139">
        <f t="shared" si="52"/>
        <v>0.89787058581282819</v>
      </c>
      <c r="Q9" s="135">
        <f t="shared" si="1"/>
        <v>16</v>
      </c>
      <c r="R9" s="136">
        <v>0.1</v>
      </c>
      <c r="S9" s="137">
        <v>53804.524290000001</v>
      </c>
      <c r="T9" s="128">
        <v>52839.61032</v>
      </c>
      <c r="U9" s="134">
        <f t="shared" si="2"/>
        <v>98.20663042238003</v>
      </c>
      <c r="V9" s="135">
        <f t="shared" si="3"/>
        <v>7</v>
      </c>
      <c r="W9" s="136">
        <v>0.1</v>
      </c>
      <c r="X9" s="137">
        <v>51914.722460000005</v>
      </c>
      <c r="Y9" s="140">
        <v>6866.57078</v>
      </c>
      <c r="Z9" s="134">
        <f t="shared" si="4"/>
        <v>13.226634863146295</v>
      </c>
      <c r="AA9" s="130">
        <f t="shared" si="5"/>
        <v>8</v>
      </c>
      <c r="AB9" s="136">
        <v>0.1</v>
      </c>
      <c r="AC9" s="141">
        <f t="shared" si="53"/>
        <v>52839.61032</v>
      </c>
      <c r="AD9" s="142">
        <v>2288.5</v>
      </c>
      <c r="AE9" s="129">
        <f t="shared" si="6"/>
        <v>4.3310311831232298</v>
      </c>
      <c r="AF9" s="130">
        <f t="shared" si="7"/>
        <v>7</v>
      </c>
      <c r="AG9" s="131">
        <v>0.12</v>
      </c>
      <c r="AH9" s="143">
        <v>0</v>
      </c>
      <c r="AI9" s="142">
        <f t="shared" si="54"/>
        <v>53804.524290000001</v>
      </c>
      <c r="AJ9" s="144">
        <f t="shared" si="8"/>
        <v>0</v>
      </c>
      <c r="AK9" s="145">
        <f t="shared" si="9"/>
        <v>1</v>
      </c>
      <c r="AL9" s="146">
        <v>0.08</v>
      </c>
      <c r="AM9" s="147">
        <v>0.88200000000000001</v>
      </c>
      <c r="AN9" s="142">
        <f t="shared" si="55"/>
        <v>37125.15</v>
      </c>
      <c r="AO9" s="148">
        <f t="shared" si="10"/>
        <v>2.3757479767758513E-3</v>
      </c>
      <c r="AP9" s="145">
        <f t="shared" si="11"/>
        <v>10</v>
      </c>
      <c r="AQ9" s="146">
        <v>0.08</v>
      </c>
      <c r="AR9" s="149">
        <f t="shared" si="56"/>
        <v>0.79999999999999993</v>
      </c>
      <c r="AS9" s="150">
        <f t="shared" si="57"/>
        <v>6.1</v>
      </c>
      <c r="AT9" s="151">
        <f t="shared" si="58"/>
        <v>7</v>
      </c>
      <c r="AU9" s="152">
        <v>9666</v>
      </c>
      <c r="AV9" s="138">
        <v>9713</v>
      </c>
      <c r="AW9" s="134">
        <f t="shared" si="12"/>
        <v>100.48624043037451</v>
      </c>
      <c r="AX9" s="135">
        <f t="shared" si="13"/>
        <v>6</v>
      </c>
      <c r="AY9" s="153">
        <v>0.12</v>
      </c>
      <c r="AZ9" s="154">
        <v>27</v>
      </c>
      <c r="BA9" s="129">
        <f t="shared" si="14"/>
        <v>0.87096774193548387</v>
      </c>
      <c r="BB9" s="130">
        <f t="shared" si="15"/>
        <v>4</v>
      </c>
      <c r="BC9" s="131">
        <v>0.12</v>
      </c>
      <c r="BD9" s="141">
        <v>6685.9</v>
      </c>
      <c r="BE9" s="248">
        <v>15.3</v>
      </c>
      <c r="BF9" s="142">
        <f t="shared" si="16"/>
        <v>36415.577342047924</v>
      </c>
      <c r="BG9" s="155">
        <f t="shared" si="59"/>
        <v>108.00361046963825</v>
      </c>
      <c r="BH9" s="156">
        <f>ABS(BG9-BH5)</f>
        <v>8.0036104696382466</v>
      </c>
      <c r="BI9" s="130">
        <f t="shared" si="60"/>
        <v>13</v>
      </c>
      <c r="BJ9" s="131">
        <v>0.15</v>
      </c>
      <c r="BK9" s="157">
        <v>15</v>
      </c>
      <c r="BL9" s="158">
        <v>18</v>
      </c>
      <c r="BM9" s="159">
        <f t="shared" si="61"/>
        <v>83.333333333333343</v>
      </c>
      <c r="BN9" s="160">
        <f t="shared" si="62"/>
        <v>3</v>
      </c>
      <c r="BO9" s="153">
        <v>0.11</v>
      </c>
      <c r="BP9" s="161">
        <v>5</v>
      </c>
      <c r="BQ9" s="158">
        <v>86</v>
      </c>
      <c r="BR9" s="134">
        <f t="shared" si="17"/>
        <v>5.8139534883720927</v>
      </c>
      <c r="BS9" s="135">
        <f t="shared" si="18"/>
        <v>16</v>
      </c>
      <c r="BT9" s="153">
        <v>0.03</v>
      </c>
      <c r="BU9" s="161">
        <v>5</v>
      </c>
      <c r="BV9" s="158">
        <v>8</v>
      </c>
      <c r="BW9" s="134">
        <f t="shared" si="19"/>
        <v>62.5</v>
      </c>
      <c r="BX9" s="135">
        <f t="shared" si="20"/>
        <v>16</v>
      </c>
      <c r="BY9" s="153">
        <v>7.0000000000000007E-2</v>
      </c>
      <c r="BZ9" s="162">
        <f t="shared" si="63"/>
        <v>0.60000000000000009</v>
      </c>
      <c r="CA9" s="150">
        <f t="shared" si="64"/>
        <v>5.08</v>
      </c>
      <c r="CB9" s="163">
        <f t="shared" si="65"/>
        <v>10</v>
      </c>
      <c r="CC9" s="164"/>
      <c r="CD9" s="165"/>
      <c r="CE9" s="166">
        <v>2.9999999999999997E-4</v>
      </c>
      <c r="CF9" s="135">
        <f>RANK(CE9,$CE$7:$CE$23,1)</f>
        <v>10</v>
      </c>
      <c r="CG9" s="131">
        <v>0.02</v>
      </c>
      <c r="CH9" s="167">
        <v>0.55700000000000005</v>
      </c>
      <c r="CI9" s="130">
        <f t="shared" si="21"/>
        <v>13</v>
      </c>
      <c r="CJ9" s="131">
        <v>0.15</v>
      </c>
      <c r="CK9" s="134">
        <v>78.650000000000006</v>
      </c>
      <c r="CL9" s="135">
        <f t="shared" si="66"/>
        <v>12</v>
      </c>
      <c r="CM9" s="153">
        <v>0.08</v>
      </c>
      <c r="CN9" s="161">
        <v>7</v>
      </c>
      <c r="CO9" s="135">
        <f t="shared" si="67"/>
        <v>11</v>
      </c>
      <c r="CP9" s="153">
        <v>0.15</v>
      </c>
      <c r="CQ9" s="168">
        <f t="shared" si="22"/>
        <v>0.4</v>
      </c>
      <c r="CR9" s="150">
        <f t="shared" si="68"/>
        <v>4.76</v>
      </c>
      <c r="CS9" s="151">
        <f t="shared" si="69"/>
        <v>16</v>
      </c>
      <c r="CT9" s="152">
        <v>3</v>
      </c>
      <c r="CU9" s="134">
        <v>1</v>
      </c>
      <c r="CV9" s="158">
        <f t="shared" si="23"/>
        <v>1</v>
      </c>
      <c r="CW9" s="136">
        <v>0.1</v>
      </c>
      <c r="CX9" s="161">
        <v>1</v>
      </c>
      <c r="CY9" s="135">
        <f t="shared" si="24"/>
        <v>1</v>
      </c>
      <c r="CZ9" s="153">
        <v>0.15</v>
      </c>
      <c r="DA9" s="161">
        <v>108</v>
      </c>
      <c r="DB9" s="158">
        <v>108</v>
      </c>
      <c r="DC9" s="158">
        <f t="shared" si="25"/>
        <v>100</v>
      </c>
      <c r="DD9" s="135">
        <f t="shared" si="26"/>
        <v>1</v>
      </c>
      <c r="DE9" s="153">
        <v>0.15</v>
      </c>
      <c r="DF9" s="161">
        <v>577</v>
      </c>
      <c r="DG9" s="158">
        <v>78</v>
      </c>
      <c r="DH9" s="134">
        <f t="shared" si="70"/>
        <v>13.518197573656845</v>
      </c>
      <c r="DI9" s="134">
        <f t="shared" si="71"/>
        <v>86.481802426343151</v>
      </c>
      <c r="DJ9" s="135">
        <f t="shared" si="72"/>
        <v>15</v>
      </c>
      <c r="DK9" s="153">
        <v>0.05</v>
      </c>
      <c r="DL9" s="175">
        <v>1</v>
      </c>
      <c r="DM9" s="134">
        <v>1</v>
      </c>
      <c r="DN9" s="134">
        <f t="shared" ref="DN9:DN21" si="92">DM9/DL9*100</f>
        <v>100</v>
      </c>
      <c r="DO9" s="158">
        <f t="shared" si="73"/>
        <v>1</v>
      </c>
      <c r="DP9" s="153">
        <v>0.05</v>
      </c>
      <c r="DQ9" s="168">
        <f t="shared" si="74"/>
        <v>0.5</v>
      </c>
      <c r="DR9" s="150">
        <f t="shared" si="75"/>
        <v>1.2</v>
      </c>
      <c r="DS9" s="163">
        <f t="shared" si="76"/>
        <v>3</v>
      </c>
      <c r="DT9" s="170">
        <v>60</v>
      </c>
      <c r="DU9" s="171">
        <v>62</v>
      </c>
      <c r="DV9" s="172">
        <f t="shared" si="27"/>
        <v>96.774193548387103</v>
      </c>
      <c r="DW9" s="173">
        <f>RANK(DV9,$DV$7:$DV$23)</f>
        <v>11</v>
      </c>
      <c r="DX9" s="131">
        <v>0.2</v>
      </c>
      <c r="DY9" s="162">
        <v>30.6</v>
      </c>
      <c r="DZ9" s="135">
        <f t="shared" si="28"/>
        <v>14</v>
      </c>
      <c r="EA9" s="153">
        <v>0.2</v>
      </c>
      <c r="EB9" s="161">
        <v>26</v>
      </c>
      <c r="EC9" s="134">
        <f t="shared" si="29"/>
        <v>100</v>
      </c>
      <c r="ED9" s="135">
        <f t="shared" si="30"/>
        <v>1</v>
      </c>
      <c r="EE9" s="136">
        <v>0.1</v>
      </c>
      <c r="EF9" s="161">
        <v>1</v>
      </c>
      <c r="EG9" s="135">
        <f t="shared" si="31"/>
        <v>1</v>
      </c>
      <c r="EH9" s="153">
        <v>0.05</v>
      </c>
      <c r="EI9" s="161">
        <v>1</v>
      </c>
      <c r="EJ9" s="135">
        <f t="shared" si="32"/>
        <v>1</v>
      </c>
      <c r="EK9" s="153">
        <v>0.05</v>
      </c>
      <c r="EL9" s="161">
        <v>0</v>
      </c>
      <c r="EM9" s="135">
        <f t="shared" si="33"/>
        <v>2</v>
      </c>
      <c r="EN9" s="174">
        <v>0.1</v>
      </c>
      <c r="EO9" s="161">
        <v>3</v>
      </c>
      <c r="EP9" s="158">
        <v>11</v>
      </c>
      <c r="EQ9" s="134">
        <f t="shared" si="34"/>
        <v>27.27272727272727</v>
      </c>
      <c r="ER9" s="135">
        <f t="shared" si="35"/>
        <v>11</v>
      </c>
      <c r="ES9" s="153">
        <v>0.05</v>
      </c>
      <c r="ET9" s="134">
        <v>37.554314090626939</v>
      </c>
      <c r="EU9" s="134">
        <v>36.548955008751157</v>
      </c>
      <c r="EV9" s="134">
        <f t="shared" si="77"/>
        <v>97.322919866277886</v>
      </c>
      <c r="EW9" s="135">
        <f t="shared" si="36"/>
        <v>12</v>
      </c>
      <c r="EX9" s="153">
        <v>0.15</v>
      </c>
      <c r="EY9" s="161">
        <v>6</v>
      </c>
      <c r="EZ9" s="134">
        <f t="shared" si="78"/>
        <v>0.61772881704931537</v>
      </c>
      <c r="FA9" s="135">
        <f t="shared" si="37"/>
        <v>6</v>
      </c>
      <c r="FB9" s="153">
        <v>0.05</v>
      </c>
      <c r="FC9" s="161">
        <v>6</v>
      </c>
      <c r="FD9" s="134">
        <f t="shared" si="79"/>
        <v>0.61772881704931537</v>
      </c>
      <c r="FE9" s="135">
        <f t="shared" si="38"/>
        <v>3</v>
      </c>
      <c r="FF9" s="153">
        <v>0.05</v>
      </c>
      <c r="FG9" s="175">
        <v>0.69</v>
      </c>
      <c r="FH9" s="135">
        <f t="shared" si="80"/>
        <v>15</v>
      </c>
      <c r="FI9" s="174">
        <v>0.1</v>
      </c>
      <c r="FJ9" s="175">
        <v>0.66</v>
      </c>
      <c r="FK9" s="135">
        <f t="shared" si="81"/>
        <v>13</v>
      </c>
      <c r="FL9" s="153">
        <v>0.1</v>
      </c>
      <c r="FM9" s="175">
        <v>0.3</v>
      </c>
      <c r="FN9" s="158">
        <f t="shared" si="82"/>
        <v>4</v>
      </c>
      <c r="FO9" s="153">
        <v>0.1</v>
      </c>
      <c r="FP9" s="175">
        <v>0</v>
      </c>
      <c r="FQ9" s="135">
        <f t="shared" si="83"/>
        <v>15</v>
      </c>
      <c r="FR9" s="153">
        <v>0.1</v>
      </c>
      <c r="FS9" s="176">
        <f t="shared" si="39"/>
        <v>1.4000000000000006</v>
      </c>
      <c r="FT9" s="150">
        <f t="shared" si="84"/>
        <v>12.9</v>
      </c>
      <c r="FU9" s="130">
        <f t="shared" si="85"/>
        <v>16</v>
      </c>
      <c r="FV9" s="126">
        <v>62</v>
      </c>
      <c r="FW9" s="126">
        <v>62</v>
      </c>
      <c r="FX9" s="177">
        <f t="shared" si="40"/>
        <v>100</v>
      </c>
      <c r="FY9" s="130">
        <f t="shared" si="41"/>
        <v>1</v>
      </c>
      <c r="FZ9" s="178">
        <v>0.1</v>
      </c>
      <c r="GA9" s="179">
        <f>115/AU9*1000</f>
        <v>11.897372232567763</v>
      </c>
      <c r="GB9" s="129">
        <f>105/AV9*1000</f>
        <v>10.810254298363018</v>
      </c>
      <c r="GC9" s="168">
        <f t="shared" si="86"/>
        <v>90.862537433023434</v>
      </c>
      <c r="GD9" s="135">
        <f t="shared" si="42"/>
        <v>12</v>
      </c>
      <c r="GE9" s="136">
        <v>0.1</v>
      </c>
      <c r="GF9" s="180">
        <v>55</v>
      </c>
      <c r="GG9" s="181">
        <v>55</v>
      </c>
      <c r="GH9" s="134">
        <f t="shared" si="43"/>
        <v>100</v>
      </c>
      <c r="GI9" s="135">
        <v>1</v>
      </c>
      <c r="GJ9" s="182">
        <v>0.1</v>
      </c>
      <c r="GK9" s="161">
        <v>33</v>
      </c>
      <c r="GL9" s="183">
        <f t="shared" si="87"/>
        <v>3.3975084937712343</v>
      </c>
      <c r="GM9" s="135">
        <f t="shared" si="88"/>
        <v>7</v>
      </c>
      <c r="GN9" s="136">
        <v>0.1</v>
      </c>
      <c r="GO9" s="161">
        <v>1</v>
      </c>
      <c r="GP9" s="134">
        <f t="shared" si="44"/>
        <v>0.10295480284155256</v>
      </c>
      <c r="GQ9" s="135">
        <f t="shared" si="45"/>
        <v>10</v>
      </c>
      <c r="GR9" s="182">
        <v>0.1</v>
      </c>
      <c r="GS9" s="184">
        <f t="shared" si="46"/>
        <v>0.5</v>
      </c>
      <c r="GT9" s="150">
        <f t="shared" si="89"/>
        <v>3.1000000000000005</v>
      </c>
      <c r="GU9" s="163">
        <f t="shared" si="90"/>
        <v>11</v>
      </c>
      <c r="GV9" s="185">
        <f t="shared" si="47"/>
        <v>7.9000000000000012</v>
      </c>
      <c r="GW9" s="186">
        <f t="shared" si="91"/>
        <v>15</v>
      </c>
      <c r="GX9" s="186">
        <v>4</v>
      </c>
    </row>
    <row r="10" spans="1:206" s="9" customFormat="1" ht="15.75" x14ac:dyDescent="0.25">
      <c r="A10" s="126">
        <v>4</v>
      </c>
      <c r="B10" s="127" t="s">
        <v>168</v>
      </c>
      <c r="C10" s="128">
        <v>9479.9040000000005</v>
      </c>
      <c r="D10" s="128">
        <v>9925.27</v>
      </c>
      <c r="E10" s="129">
        <f t="shared" si="48"/>
        <v>104.69800116119319</v>
      </c>
      <c r="F10" s="130">
        <f t="shared" si="49"/>
        <v>10</v>
      </c>
      <c r="G10" s="131">
        <v>0.12</v>
      </c>
      <c r="H10" s="132">
        <v>9625.69</v>
      </c>
      <c r="I10" s="133">
        <v>9925.27</v>
      </c>
      <c r="J10" s="134">
        <f t="shared" si="0"/>
        <v>103.11229636524759</v>
      </c>
      <c r="K10" s="134">
        <f>ABS(J10-K5)</f>
        <v>3.1122963652475875</v>
      </c>
      <c r="L10" s="135">
        <f t="shared" si="50"/>
        <v>7</v>
      </c>
      <c r="M10" s="136">
        <v>0.1</v>
      </c>
      <c r="N10" s="137">
        <v>1657.605</v>
      </c>
      <c r="O10" s="138">
        <f t="shared" si="51"/>
        <v>1638</v>
      </c>
      <c r="P10" s="139">
        <f t="shared" si="52"/>
        <v>1.0119688644688645</v>
      </c>
      <c r="Q10" s="135">
        <f t="shared" si="1"/>
        <v>13</v>
      </c>
      <c r="R10" s="136">
        <v>0.1</v>
      </c>
      <c r="S10" s="137">
        <v>15276.47271</v>
      </c>
      <c r="T10" s="128">
        <v>15016.784609999999</v>
      </c>
      <c r="U10" s="134">
        <f t="shared" si="2"/>
        <v>98.300078133678014</v>
      </c>
      <c r="V10" s="135">
        <f t="shared" si="3"/>
        <v>6</v>
      </c>
      <c r="W10" s="136">
        <v>0.1</v>
      </c>
      <c r="X10" s="137">
        <v>14885.784609999999</v>
      </c>
      <c r="Y10" s="140">
        <v>2849.0147000000002</v>
      </c>
      <c r="Z10" s="134">
        <f t="shared" si="4"/>
        <v>19.139163803875572</v>
      </c>
      <c r="AA10" s="130">
        <f t="shared" si="5"/>
        <v>14</v>
      </c>
      <c r="AB10" s="136">
        <v>0.1</v>
      </c>
      <c r="AC10" s="141">
        <f t="shared" si="53"/>
        <v>15016.784609999999</v>
      </c>
      <c r="AD10" s="142">
        <v>1691.4622899999999</v>
      </c>
      <c r="AE10" s="129">
        <f t="shared" si="6"/>
        <v>11.263811354619943</v>
      </c>
      <c r="AF10" s="130">
        <f t="shared" si="7"/>
        <v>5</v>
      </c>
      <c r="AG10" s="131">
        <v>0.12</v>
      </c>
      <c r="AH10" s="143">
        <v>0</v>
      </c>
      <c r="AI10" s="142">
        <f t="shared" si="54"/>
        <v>15276.47271</v>
      </c>
      <c r="AJ10" s="144">
        <f t="shared" si="8"/>
        <v>0</v>
      </c>
      <c r="AK10" s="145">
        <f t="shared" si="9"/>
        <v>1</v>
      </c>
      <c r="AL10" s="146">
        <v>0.08</v>
      </c>
      <c r="AM10" s="147">
        <v>0</v>
      </c>
      <c r="AN10" s="142">
        <f t="shared" si="55"/>
        <v>9925.27</v>
      </c>
      <c r="AO10" s="148">
        <f t="shared" si="10"/>
        <v>0</v>
      </c>
      <c r="AP10" s="145">
        <f t="shared" si="11"/>
        <v>2</v>
      </c>
      <c r="AQ10" s="146">
        <v>0.08</v>
      </c>
      <c r="AR10" s="149">
        <f t="shared" si="56"/>
        <v>0.79999999999999993</v>
      </c>
      <c r="AS10" s="150">
        <f t="shared" si="57"/>
        <v>6.04</v>
      </c>
      <c r="AT10" s="151">
        <f t="shared" si="58"/>
        <v>5</v>
      </c>
      <c r="AU10" s="152">
        <v>1630</v>
      </c>
      <c r="AV10" s="138">
        <v>1638</v>
      </c>
      <c r="AW10" s="134">
        <f t="shared" si="12"/>
        <v>100.49079754601226</v>
      </c>
      <c r="AX10" s="135">
        <f t="shared" si="13"/>
        <v>5</v>
      </c>
      <c r="AY10" s="153">
        <v>0.12</v>
      </c>
      <c r="AZ10" s="154">
        <v>14</v>
      </c>
      <c r="BA10" s="129">
        <f t="shared" si="14"/>
        <v>0.45161290322580644</v>
      </c>
      <c r="BB10" s="130">
        <f t="shared" si="15"/>
        <v>15</v>
      </c>
      <c r="BC10" s="131">
        <v>0.12</v>
      </c>
      <c r="BD10" s="141"/>
      <c r="BE10" s="177"/>
      <c r="BF10" s="142"/>
      <c r="BG10" s="155">
        <f t="shared" si="59"/>
        <v>0</v>
      </c>
      <c r="BH10" s="156">
        <f>ABS(BG10-BH5)</f>
        <v>100</v>
      </c>
      <c r="BI10" s="130">
        <f>RANK(BH10,$BH$7:$BH$23,1)</f>
        <v>17</v>
      </c>
      <c r="BJ10" s="131">
        <v>0.15</v>
      </c>
      <c r="BK10" s="157">
        <v>2</v>
      </c>
      <c r="BL10" s="158">
        <v>3</v>
      </c>
      <c r="BM10" s="159">
        <f t="shared" si="61"/>
        <v>66.666666666666657</v>
      </c>
      <c r="BN10" s="160">
        <f t="shared" si="62"/>
        <v>1</v>
      </c>
      <c r="BO10" s="153">
        <v>0.11</v>
      </c>
      <c r="BP10" s="161">
        <v>1</v>
      </c>
      <c r="BQ10" s="158">
        <v>15</v>
      </c>
      <c r="BR10" s="134">
        <f t="shared" si="17"/>
        <v>6.666666666666667</v>
      </c>
      <c r="BS10" s="135">
        <f t="shared" si="18"/>
        <v>15</v>
      </c>
      <c r="BT10" s="153">
        <v>0.03</v>
      </c>
      <c r="BU10" s="161">
        <v>1</v>
      </c>
      <c r="BV10" s="158">
        <v>1</v>
      </c>
      <c r="BW10" s="134">
        <f t="shared" si="19"/>
        <v>100</v>
      </c>
      <c r="BX10" s="135">
        <f t="shared" si="20"/>
        <v>1</v>
      </c>
      <c r="BY10" s="153">
        <v>7.0000000000000007E-2</v>
      </c>
      <c r="BZ10" s="162">
        <f t="shared" si="63"/>
        <v>0.60000000000000009</v>
      </c>
      <c r="CA10" s="150">
        <f t="shared" si="64"/>
        <v>5.58</v>
      </c>
      <c r="CB10" s="163">
        <f t="shared" si="65"/>
        <v>12</v>
      </c>
      <c r="CC10" s="164"/>
      <c r="CD10" s="165"/>
      <c r="CE10" s="166">
        <v>1.35E-2</v>
      </c>
      <c r="CF10" s="135">
        <f t="shared" ref="CF10:CF23" si="93">RANK(CE10,$CE$7:$CE$23,1)</f>
        <v>16</v>
      </c>
      <c r="CG10" s="131">
        <v>0.02</v>
      </c>
      <c r="CH10" s="167">
        <v>0</v>
      </c>
      <c r="CI10" s="130">
        <f t="shared" si="21"/>
        <v>1</v>
      </c>
      <c r="CJ10" s="131">
        <v>0.15</v>
      </c>
      <c r="CK10" s="134">
        <v>51.18</v>
      </c>
      <c r="CL10" s="135">
        <f t="shared" si="66"/>
        <v>15</v>
      </c>
      <c r="CM10" s="153">
        <v>0.08</v>
      </c>
      <c r="CN10" s="161">
        <v>0</v>
      </c>
      <c r="CO10" s="135">
        <f t="shared" si="67"/>
        <v>15</v>
      </c>
      <c r="CP10" s="153">
        <v>0.15</v>
      </c>
      <c r="CQ10" s="168">
        <f t="shared" si="22"/>
        <v>0.4</v>
      </c>
      <c r="CR10" s="150">
        <f t="shared" si="68"/>
        <v>3.92</v>
      </c>
      <c r="CS10" s="151">
        <f t="shared" si="69"/>
        <v>12</v>
      </c>
      <c r="CT10" s="152">
        <v>3</v>
      </c>
      <c r="CU10" s="134">
        <v>1</v>
      </c>
      <c r="CV10" s="158">
        <f t="shared" si="23"/>
        <v>1</v>
      </c>
      <c r="CW10" s="136">
        <v>0.1</v>
      </c>
      <c r="CX10" s="161">
        <v>1</v>
      </c>
      <c r="CY10" s="135">
        <f t="shared" si="24"/>
        <v>1</v>
      </c>
      <c r="CZ10" s="153">
        <v>0.15</v>
      </c>
      <c r="DA10" s="161">
        <v>12</v>
      </c>
      <c r="DB10" s="158">
        <v>12</v>
      </c>
      <c r="DC10" s="158">
        <f t="shared" si="25"/>
        <v>100</v>
      </c>
      <c r="DD10" s="135">
        <f t="shared" si="26"/>
        <v>1</v>
      </c>
      <c r="DE10" s="153">
        <v>0.15</v>
      </c>
      <c r="DF10" s="161">
        <v>55</v>
      </c>
      <c r="DG10" s="158">
        <v>5</v>
      </c>
      <c r="DH10" s="134">
        <f t="shared" si="70"/>
        <v>9.0909090909090917</v>
      </c>
      <c r="DI10" s="134">
        <f t="shared" si="71"/>
        <v>90.909090909090907</v>
      </c>
      <c r="DJ10" s="135">
        <f t="shared" si="72"/>
        <v>16</v>
      </c>
      <c r="DK10" s="153">
        <v>0.05</v>
      </c>
      <c r="DL10" s="175">
        <v>0</v>
      </c>
      <c r="DM10" s="134">
        <v>0</v>
      </c>
      <c r="DN10" s="134">
        <v>0</v>
      </c>
      <c r="DO10" s="158">
        <f t="shared" si="73"/>
        <v>7</v>
      </c>
      <c r="DP10" s="153">
        <v>0.05</v>
      </c>
      <c r="DQ10" s="168">
        <f t="shared" si="74"/>
        <v>0.5</v>
      </c>
      <c r="DR10" s="150">
        <f t="shared" si="75"/>
        <v>1.5500000000000003</v>
      </c>
      <c r="DS10" s="163">
        <f t="shared" si="76"/>
        <v>6</v>
      </c>
      <c r="DT10" s="170">
        <v>36</v>
      </c>
      <c r="DU10" s="171">
        <v>41</v>
      </c>
      <c r="DV10" s="172">
        <f t="shared" si="27"/>
        <v>87.804878048780495</v>
      </c>
      <c r="DW10" s="173">
        <f t="shared" ref="DW10:DW22" si="94">RANK(DV10,$DV$7:$DV$23)</f>
        <v>14</v>
      </c>
      <c r="DX10" s="131">
        <v>0.2</v>
      </c>
      <c r="DY10" s="162">
        <v>28.6</v>
      </c>
      <c r="DZ10" s="135">
        <f t="shared" si="28"/>
        <v>15</v>
      </c>
      <c r="EA10" s="153">
        <v>0.2</v>
      </c>
      <c r="EB10" s="161">
        <v>26</v>
      </c>
      <c r="EC10" s="134">
        <f t="shared" si="29"/>
        <v>100</v>
      </c>
      <c r="ED10" s="135">
        <f t="shared" si="30"/>
        <v>1</v>
      </c>
      <c r="EE10" s="136">
        <v>0.1</v>
      </c>
      <c r="EF10" s="161">
        <v>1</v>
      </c>
      <c r="EG10" s="135">
        <f t="shared" si="31"/>
        <v>1</v>
      </c>
      <c r="EH10" s="153">
        <v>0.05</v>
      </c>
      <c r="EI10" s="161">
        <v>1</v>
      </c>
      <c r="EJ10" s="135">
        <f t="shared" si="32"/>
        <v>1</v>
      </c>
      <c r="EK10" s="153">
        <v>0.05</v>
      </c>
      <c r="EL10" s="161">
        <v>0</v>
      </c>
      <c r="EM10" s="135">
        <f t="shared" si="33"/>
        <v>2</v>
      </c>
      <c r="EN10" s="174">
        <v>0.1</v>
      </c>
      <c r="EO10" s="161">
        <v>1</v>
      </c>
      <c r="EP10" s="158">
        <v>13</v>
      </c>
      <c r="EQ10" s="134">
        <f t="shared" si="34"/>
        <v>7.6923076923076925</v>
      </c>
      <c r="ER10" s="135">
        <f t="shared" si="35"/>
        <v>4</v>
      </c>
      <c r="ES10" s="153">
        <v>0.05</v>
      </c>
      <c r="ET10" s="134">
        <v>31.288343558282207</v>
      </c>
      <c r="EU10" s="134">
        <v>35.409035409035411</v>
      </c>
      <c r="EV10" s="134">
        <f t="shared" si="77"/>
        <v>113.17005434652494</v>
      </c>
      <c r="EW10" s="135">
        <f t="shared" si="36"/>
        <v>1</v>
      </c>
      <c r="EX10" s="153">
        <v>0.15</v>
      </c>
      <c r="EY10" s="161">
        <v>0</v>
      </c>
      <c r="EZ10" s="134">
        <f t="shared" si="78"/>
        <v>0</v>
      </c>
      <c r="FA10" s="135">
        <f t="shared" si="37"/>
        <v>8</v>
      </c>
      <c r="FB10" s="153">
        <v>0.05</v>
      </c>
      <c r="FC10" s="161">
        <v>0</v>
      </c>
      <c r="FD10" s="134">
        <f t="shared" si="79"/>
        <v>0</v>
      </c>
      <c r="FE10" s="135">
        <f t="shared" si="38"/>
        <v>8</v>
      </c>
      <c r="FF10" s="153">
        <v>0.05</v>
      </c>
      <c r="FG10" s="175">
        <v>1</v>
      </c>
      <c r="FH10" s="135">
        <f t="shared" si="80"/>
        <v>1</v>
      </c>
      <c r="FI10" s="174">
        <v>0.1</v>
      </c>
      <c r="FJ10" s="175">
        <v>1</v>
      </c>
      <c r="FK10" s="135">
        <f t="shared" si="81"/>
        <v>1</v>
      </c>
      <c r="FL10" s="153">
        <v>0.1</v>
      </c>
      <c r="FM10" s="175">
        <v>0.3</v>
      </c>
      <c r="FN10" s="158">
        <f t="shared" si="82"/>
        <v>4</v>
      </c>
      <c r="FO10" s="153">
        <v>0.1</v>
      </c>
      <c r="FP10" s="175">
        <v>0</v>
      </c>
      <c r="FQ10" s="135">
        <f t="shared" si="83"/>
        <v>15</v>
      </c>
      <c r="FR10" s="153">
        <v>0.1</v>
      </c>
      <c r="FS10" s="176">
        <f t="shared" si="39"/>
        <v>1.4000000000000006</v>
      </c>
      <c r="FT10" s="150">
        <f t="shared" si="84"/>
        <v>9.4500000000000011</v>
      </c>
      <c r="FU10" s="130">
        <f t="shared" si="85"/>
        <v>11</v>
      </c>
      <c r="FV10" s="126">
        <v>5</v>
      </c>
      <c r="FW10" s="126">
        <v>5</v>
      </c>
      <c r="FX10" s="177">
        <f t="shared" si="40"/>
        <v>100</v>
      </c>
      <c r="FY10" s="130">
        <f t="shared" si="41"/>
        <v>1</v>
      </c>
      <c r="FZ10" s="178">
        <v>0.1</v>
      </c>
      <c r="GA10" s="179">
        <f>28/AU10*1000</f>
        <v>17.177914110429448</v>
      </c>
      <c r="GB10" s="129">
        <f>20/AV10*1000</f>
        <v>12.210012210012209</v>
      </c>
      <c r="GC10" s="168">
        <f t="shared" si="86"/>
        <v>71.079713936856791</v>
      </c>
      <c r="GD10" s="135">
        <f t="shared" si="42"/>
        <v>4</v>
      </c>
      <c r="GE10" s="136">
        <v>0.1</v>
      </c>
      <c r="GF10" s="180">
        <v>9</v>
      </c>
      <c r="GG10" s="181">
        <v>9</v>
      </c>
      <c r="GH10" s="134">
        <f t="shared" si="43"/>
        <v>100</v>
      </c>
      <c r="GI10" s="135">
        <v>1</v>
      </c>
      <c r="GJ10" s="182">
        <v>0.1</v>
      </c>
      <c r="GK10" s="161">
        <v>7</v>
      </c>
      <c r="GL10" s="183">
        <f t="shared" si="87"/>
        <v>4.2735042735042743</v>
      </c>
      <c r="GM10" s="135">
        <f t="shared" si="88"/>
        <v>12</v>
      </c>
      <c r="GN10" s="136">
        <v>0.1</v>
      </c>
      <c r="GO10" s="161">
        <v>0</v>
      </c>
      <c r="GP10" s="134">
        <f t="shared" si="44"/>
        <v>0</v>
      </c>
      <c r="GQ10" s="135">
        <f t="shared" si="45"/>
        <v>1</v>
      </c>
      <c r="GR10" s="182">
        <v>0.1</v>
      </c>
      <c r="GS10" s="184">
        <f t="shared" si="46"/>
        <v>0.5</v>
      </c>
      <c r="GT10" s="150">
        <f t="shared" si="89"/>
        <v>1.9000000000000004</v>
      </c>
      <c r="GU10" s="163">
        <f t="shared" si="90"/>
        <v>5</v>
      </c>
      <c r="GV10" s="185">
        <f t="shared" si="47"/>
        <v>6.1500000000000012</v>
      </c>
      <c r="GW10" s="186">
        <f t="shared" si="91"/>
        <v>8</v>
      </c>
      <c r="GX10" s="186" t="s">
        <v>165</v>
      </c>
    </row>
    <row r="11" spans="1:206" s="9" customFormat="1" ht="15.75" x14ac:dyDescent="0.25">
      <c r="A11" s="126">
        <v>5</v>
      </c>
      <c r="B11" s="127" t="s">
        <v>169</v>
      </c>
      <c r="C11" s="128">
        <v>91606.156000000003</v>
      </c>
      <c r="D11" s="128">
        <v>108399.4</v>
      </c>
      <c r="E11" s="129">
        <f t="shared" si="48"/>
        <v>118.33200380114191</v>
      </c>
      <c r="F11" s="130">
        <f t="shared" si="49"/>
        <v>4</v>
      </c>
      <c r="G11" s="131">
        <v>0.12</v>
      </c>
      <c r="H11" s="132">
        <v>103378.59</v>
      </c>
      <c r="I11" s="133">
        <v>108399.4</v>
      </c>
      <c r="J11" s="134">
        <f t="shared" si="0"/>
        <v>104.85672129983587</v>
      </c>
      <c r="K11" s="134">
        <f>ABS(J11-K5)</f>
        <v>4.8567212998358684</v>
      </c>
      <c r="L11" s="135">
        <f t="shared" si="50"/>
        <v>8</v>
      </c>
      <c r="M11" s="136">
        <v>0.1</v>
      </c>
      <c r="N11" s="137">
        <v>22970.466</v>
      </c>
      <c r="O11" s="138">
        <f t="shared" si="51"/>
        <v>14241</v>
      </c>
      <c r="P11" s="139">
        <f t="shared" si="52"/>
        <v>1.6129812513166211</v>
      </c>
      <c r="Q11" s="135">
        <f t="shared" si="1"/>
        <v>11</v>
      </c>
      <c r="R11" s="136">
        <v>0.1</v>
      </c>
      <c r="S11" s="137">
        <v>118617.51251999999</v>
      </c>
      <c r="T11" s="128">
        <v>116737.59223000001</v>
      </c>
      <c r="U11" s="134">
        <f t="shared" si="2"/>
        <v>98.415141027609224</v>
      </c>
      <c r="V11" s="135">
        <f t="shared" si="3"/>
        <v>5</v>
      </c>
      <c r="W11" s="136">
        <v>0.1</v>
      </c>
      <c r="X11" s="137">
        <v>115951.02952</v>
      </c>
      <c r="Y11" s="140">
        <v>10380.407539999998</v>
      </c>
      <c r="Z11" s="134">
        <f t="shared" si="4"/>
        <v>8.9524065314224028</v>
      </c>
      <c r="AA11" s="130">
        <f t="shared" si="5"/>
        <v>3</v>
      </c>
      <c r="AB11" s="136">
        <v>0.1</v>
      </c>
      <c r="AC11" s="141">
        <f t="shared" si="53"/>
        <v>116737.59223000001</v>
      </c>
      <c r="AD11" s="142">
        <v>1493.6871699999999</v>
      </c>
      <c r="AE11" s="129">
        <f t="shared" si="6"/>
        <v>1.2795254223310442</v>
      </c>
      <c r="AF11" s="130">
        <f t="shared" si="7"/>
        <v>14</v>
      </c>
      <c r="AG11" s="131">
        <v>0.12</v>
      </c>
      <c r="AH11" s="143">
        <v>1.2999999999999999E-2</v>
      </c>
      <c r="AI11" s="142">
        <f t="shared" si="54"/>
        <v>118617.51251999999</v>
      </c>
      <c r="AJ11" s="144">
        <f t="shared" si="8"/>
        <v>1.0959595867269668E-5</v>
      </c>
      <c r="AK11" s="145">
        <f t="shared" si="9"/>
        <v>16</v>
      </c>
      <c r="AL11" s="146">
        <v>0.08</v>
      </c>
      <c r="AM11" s="147">
        <v>0.18463666666666664</v>
      </c>
      <c r="AN11" s="142">
        <f t="shared" si="55"/>
        <v>108399.4</v>
      </c>
      <c r="AO11" s="148">
        <f t="shared" si="10"/>
        <v>1.7032997107610065E-4</v>
      </c>
      <c r="AP11" s="145">
        <f t="shared" si="11"/>
        <v>7</v>
      </c>
      <c r="AQ11" s="146">
        <v>0.08</v>
      </c>
      <c r="AR11" s="149">
        <f t="shared" si="56"/>
        <v>0.79999999999999993</v>
      </c>
      <c r="AS11" s="150">
        <f t="shared" si="57"/>
        <v>6.6999999999999993</v>
      </c>
      <c r="AT11" s="151">
        <f t="shared" si="58"/>
        <v>8</v>
      </c>
      <c r="AU11" s="152">
        <v>13844</v>
      </c>
      <c r="AV11" s="138">
        <v>14241</v>
      </c>
      <c r="AW11" s="134">
        <f t="shared" si="12"/>
        <v>102.8676683039584</v>
      </c>
      <c r="AX11" s="135">
        <f t="shared" si="13"/>
        <v>3</v>
      </c>
      <c r="AY11" s="153">
        <v>0.12</v>
      </c>
      <c r="AZ11" s="154">
        <v>20</v>
      </c>
      <c r="BA11" s="129">
        <f t="shared" si="14"/>
        <v>0.64516129032258063</v>
      </c>
      <c r="BB11" s="130">
        <f t="shared" si="15"/>
        <v>12</v>
      </c>
      <c r="BC11" s="131">
        <v>0.12</v>
      </c>
      <c r="BD11" s="141">
        <v>6599.2</v>
      </c>
      <c r="BE11" s="126">
        <v>14</v>
      </c>
      <c r="BF11" s="142">
        <f t="shared" si="16"/>
        <v>39280.952380952382</v>
      </c>
      <c r="BG11" s="155">
        <f t="shared" si="59"/>
        <v>116.50192004316038</v>
      </c>
      <c r="BH11" s="156">
        <f>ABS(BG11-BH5)</f>
        <v>16.501920043160382</v>
      </c>
      <c r="BI11" s="130">
        <f t="shared" si="60"/>
        <v>15</v>
      </c>
      <c r="BJ11" s="131">
        <v>0.15</v>
      </c>
      <c r="BK11" s="157">
        <v>15</v>
      </c>
      <c r="BL11" s="158">
        <v>14</v>
      </c>
      <c r="BM11" s="159">
        <f t="shared" si="61"/>
        <v>107.14285714285714</v>
      </c>
      <c r="BN11" s="160">
        <f t="shared" si="62"/>
        <v>7</v>
      </c>
      <c r="BO11" s="153">
        <v>0.11</v>
      </c>
      <c r="BP11" s="161">
        <v>15</v>
      </c>
      <c r="BQ11" s="158">
        <v>62</v>
      </c>
      <c r="BR11" s="134">
        <f t="shared" si="17"/>
        <v>24.193548387096776</v>
      </c>
      <c r="BS11" s="135">
        <f t="shared" si="18"/>
        <v>8</v>
      </c>
      <c r="BT11" s="153">
        <v>0.03</v>
      </c>
      <c r="BU11" s="161">
        <v>3</v>
      </c>
      <c r="BV11" s="158">
        <v>4</v>
      </c>
      <c r="BW11" s="134">
        <f t="shared" si="19"/>
        <v>75</v>
      </c>
      <c r="BX11" s="135">
        <f t="shared" si="20"/>
        <v>14</v>
      </c>
      <c r="BY11" s="153">
        <v>7.0000000000000007E-2</v>
      </c>
      <c r="BZ11" s="162">
        <f t="shared" si="63"/>
        <v>0.60000000000000009</v>
      </c>
      <c r="CA11" s="150">
        <f t="shared" si="64"/>
        <v>6.0400000000000009</v>
      </c>
      <c r="CB11" s="163">
        <f t="shared" si="65"/>
        <v>15</v>
      </c>
      <c r="CC11" s="164"/>
      <c r="CD11" s="165"/>
      <c r="CE11" s="166">
        <v>0</v>
      </c>
      <c r="CF11" s="135">
        <f t="shared" si="93"/>
        <v>1</v>
      </c>
      <c r="CG11" s="131">
        <v>0.02</v>
      </c>
      <c r="CH11" s="167">
        <v>0</v>
      </c>
      <c r="CI11" s="130">
        <f t="shared" si="21"/>
        <v>1</v>
      </c>
      <c r="CJ11" s="131">
        <v>0.15</v>
      </c>
      <c r="CK11" s="134">
        <v>81.209999999999994</v>
      </c>
      <c r="CL11" s="135">
        <f t="shared" si="66"/>
        <v>11</v>
      </c>
      <c r="CM11" s="153">
        <v>0.08</v>
      </c>
      <c r="CN11" s="161">
        <v>3</v>
      </c>
      <c r="CO11" s="135">
        <f t="shared" si="67"/>
        <v>13</v>
      </c>
      <c r="CP11" s="153">
        <v>0.15</v>
      </c>
      <c r="CQ11" s="168">
        <f t="shared" si="22"/>
        <v>0.4</v>
      </c>
      <c r="CR11" s="150">
        <f t="shared" si="68"/>
        <v>3</v>
      </c>
      <c r="CS11" s="151">
        <f t="shared" si="69"/>
        <v>4</v>
      </c>
      <c r="CT11" s="152">
        <v>3</v>
      </c>
      <c r="CU11" s="134">
        <v>1</v>
      </c>
      <c r="CV11" s="158">
        <f t="shared" si="23"/>
        <v>1</v>
      </c>
      <c r="CW11" s="136">
        <v>0.1</v>
      </c>
      <c r="CX11" s="161">
        <v>1</v>
      </c>
      <c r="CY11" s="135">
        <f t="shared" si="24"/>
        <v>1</v>
      </c>
      <c r="CZ11" s="153">
        <v>0.15</v>
      </c>
      <c r="DA11" s="161">
        <v>141</v>
      </c>
      <c r="DB11" s="158">
        <v>141</v>
      </c>
      <c r="DC11" s="158">
        <f t="shared" si="25"/>
        <v>100</v>
      </c>
      <c r="DD11" s="135">
        <f t="shared" si="26"/>
        <v>1</v>
      </c>
      <c r="DE11" s="153">
        <v>0.15</v>
      </c>
      <c r="DF11" s="161">
        <v>309</v>
      </c>
      <c r="DG11" s="158">
        <v>223</v>
      </c>
      <c r="DH11" s="134">
        <f t="shared" si="70"/>
        <v>72.168284789644005</v>
      </c>
      <c r="DI11" s="134">
        <f t="shared" si="71"/>
        <v>27.831715210355995</v>
      </c>
      <c r="DJ11" s="135">
        <f t="shared" si="72"/>
        <v>7</v>
      </c>
      <c r="DK11" s="153">
        <v>0.05</v>
      </c>
      <c r="DL11" s="175">
        <v>3</v>
      </c>
      <c r="DM11" s="134">
        <v>3</v>
      </c>
      <c r="DN11" s="134">
        <f t="shared" si="92"/>
        <v>100</v>
      </c>
      <c r="DO11" s="158">
        <f t="shared" si="73"/>
        <v>1</v>
      </c>
      <c r="DP11" s="153">
        <v>0.05</v>
      </c>
      <c r="DQ11" s="168">
        <f t="shared" si="74"/>
        <v>0.5</v>
      </c>
      <c r="DR11" s="150">
        <f t="shared" si="75"/>
        <v>0.8</v>
      </c>
      <c r="DS11" s="163">
        <f t="shared" si="76"/>
        <v>1</v>
      </c>
      <c r="DT11" s="170">
        <v>53</v>
      </c>
      <c r="DU11" s="171">
        <v>54</v>
      </c>
      <c r="DV11" s="172">
        <f t="shared" si="27"/>
        <v>98.148148148148152</v>
      </c>
      <c r="DW11" s="173">
        <f t="shared" si="94"/>
        <v>10</v>
      </c>
      <c r="DX11" s="131">
        <v>0.2</v>
      </c>
      <c r="DY11" s="162">
        <v>51.2</v>
      </c>
      <c r="DZ11" s="135">
        <f t="shared" si="28"/>
        <v>7</v>
      </c>
      <c r="EA11" s="153">
        <v>0.2</v>
      </c>
      <c r="EB11" s="161">
        <v>26</v>
      </c>
      <c r="EC11" s="134">
        <f t="shared" si="29"/>
        <v>100</v>
      </c>
      <c r="ED11" s="135">
        <f t="shared" si="30"/>
        <v>1</v>
      </c>
      <c r="EE11" s="136">
        <v>0.1</v>
      </c>
      <c r="EF11" s="161">
        <v>1</v>
      </c>
      <c r="EG11" s="135">
        <f t="shared" si="31"/>
        <v>1</v>
      </c>
      <c r="EH11" s="153">
        <v>0.05</v>
      </c>
      <c r="EI11" s="161">
        <v>1</v>
      </c>
      <c r="EJ11" s="135">
        <f t="shared" si="32"/>
        <v>1</v>
      </c>
      <c r="EK11" s="153">
        <v>0.05</v>
      </c>
      <c r="EL11" s="161">
        <v>0</v>
      </c>
      <c r="EM11" s="135">
        <f t="shared" si="33"/>
        <v>2</v>
      </c>
      <c r="EN11" s="174">
        <v>0.1</v>
      </c>
      <c r="EO11" s="161">
        <v>1</v>
      </c>
      <c r="EP11" s="158">
        <v>8</v>
      </c>
      <c r="EQ11" s="134">
        <f t="shared" si="34"/>
        <v>12.5</v>
      </c>
      <c r="ER11" s="135">
        <f t="shared" si="35"/>
        <v>6</v>
      </c>
      <c r="ES11" s="153">
        <v>0.05</v>
      </c>
      <c r="ET11" s="134">
        <v>48.974284888760472</v>
      </c>
      <c r="EU11" s="134">
        <v>47.609016220771018</v>
      </c>
      <c r="EV11" s="134">
        <f t="shared" si="77"/>
        <v>97.212274418931273</v>
      </c>
      <c r="EW11" s="135">
        <f t="shared" si="36"/>
        <v>13</v>
      </c>
      <c r="EX11" s="153">
        <v>0.15</v>
      </c>
      <c r="EY11" s="161">
        <v>9</v>
      </c>
      <c r="EZ11" s="134">
        <f t="shared" si="78"/>
        <v>0.6319780914261639</v>
      </c>
      <c r="FA11" s="135">
        <f t="shared" si="37"/>
        <v>5</v>
      </c>
      <c r="FB11" s="153">
        <v>0.05</v>
      </c>
      <c r="FC11" s="161">
        <v>5</v>
      </c>
      <c r="FD11" s="134">
        <f t="shared" si="79"/>
        <v>0.35109893968120215</v>
      </c>
      <c r="FE11" s="135">
        <f t="shared" si="38"/>
        <v>6</v>
      </c>
      <c r="FF11" s="153">
        <v>0.05</v>
      </c>
      <c r="FG11" s="175">
        <v>0.95</v>
      </c>
      <c r="FH11" s="135">
        <f t="shared" si="80"/>
        <v>9</v>
      </c>
      <c r="FI11" s="174">
        <v>0.1</v>
      </c>
      <c r="FJ11" s="175">
        <v>0.83</v>
      </c>
      <c r="FK11" s="135">
        <f t="shared" si="81"/>
        <v>7</v>
      </c>
      <c r="FL11" s="153">
        <v>0.1</v>
      </c>
      <c r="FM11" s="175">
        <v>1</v>
      </c>
      <c r="FN11" s="158">
        <f t="shared" si="82"/>
        <v>1</v>
      </c>
      <c r="FO11" s="153">
        <v>0.1</v>
      </c>
      <c r="FP11" s="175">
        <v>0.7</v>
      </c>
      <c r="FQ11" s="135">
        <f t="shared" si="83"/>
        <v>4</v>
      </c>
      <c r="FR11" s="153">
        <v>0.1</v>
      </c>
      <c r="FS11" s="176">
        <f t="shared" si="39"/>
        <v>1.4000000000000006</v>
      </c>
      <c r="FT11" s="150">
        <f t="shared" si="84"/>
        <v>8.7000000000000011</v>
      </c>
      <c r="FU11" s="130">
        <f t="shared" si="85"/>
        <v>10</v>
      </c>
      <c r="FV11" s="126">
        <v>74</v>
      </c>
      <c r="FW11" s="126">
        <v>74</v>
      </c>
      <c r="FX11" s="177">
        <f t="shared" si="40"/>
        <v>100</v>
      </c>
      <c r="FY11" s="130">
        <f t="shared" si="41"/>
        <v>1</v>
      </c>
      <c r="FZ11" s="178">
        <v>0.1</v>
      </c>
      <c r="GA11" s="179">
        <f>137/AU11*1000</f>
        <v>9.8959838197052861</v>
      </c>
      <c r="GB11" s="129">
        <f>124/AV11*1000</f>
        <v>8.7072537040938141</v>
      </c>
      <c r="GC11" s="168">
        <f t="shared" si="86"/>
        <v>87.987752028813702</v>
      </c>
      <c r="GD11" s="135">
        <f t="shared" si="42"/>
        <v>10</v>
      </c>
      <c r="GE11" s="136">
        <v>0.1</v>
      </c>
      <c r="GF11" s="180">
        <v>72</v>
      </c>
      <c r="GG11" s="158">
        <v>72</v>
      </c>
      <c r="GH11" s="134">
        <f t="shared" si="43"/>
        <v>100</v>
      </c>
      <c r="GI11" s="135">
        <v>1</v>
      </c>
      <c r="GJ11" s="182">
        <v>0.1</v>
      </c>
      <c r="GK11" s="161">
        <v>20</v>
      </c>
      <c r="GL11" s="183">
        <f t="shared" si="87"/>
        <v>1.4043957587248086</v>
      </c>
      <c r="GM11" s="135">
        <f t="shared" si="88"/>
        <v>1</v>
      </c>
      <c r="GN11" s="136">
        <v>0.1</v>
      </c>
      <c r="GO11" s="161">
        <v>0</v>
      </c>
      <c r="GP11" s="134">
        <f t="shared" si="44"/>
        <v>0</v>
      </c>
      <c r="GQ11" s="135">
        <f t="shared" si="45"/>
        <v>1</v>
      </c>
      <c r="GR11" s="182">
        <v>0.1</v>
      </c>
      <c r="GS11" s="184">
        <f t="shared" si="46"/>
        <v>0.5</v>
      </c>
      <c r="GT11" s="150">
        <f t="shared" si="89"/>
        <v>1.4000000000000004</v>
      </c>
      <c r="GU11" s="163">
        <f t="shared" si="90"/>
        <v>2</v>
      </c>
      <c r="GV11" s="185">
        <f t="shared" si="47"/>
        <v>5.4166666666666679</v>
      </c>
      <c r="GW11" s="186">
        <f t="shared" si="91"/>
        <v>6</v>
      </c>
      <c r="GX11" s="186" t="s">
        <v>165</v>
      </c>
    </row>
    <row r="12" spans="1:206" s="9" customFormat="1" ht="15.75" x14ac:dyDescent="0.25">
      <c r="A12" s="126">
        <v>6</v>
      </c>
      <c r="B12" s="127" t="s">
        <v>170</v>
      </c>
      <c r="C12" s="128">
        <v>18413.372000000003</v>
      </c>
      <c r="D12" s="128">
        <v>21089.06</v>
      </c>
      <c r="E12" s="129">
        <f t="shared" si="48"/>
        <v>114.53122220090918</v>
      </c>
      <c r="F12" s="130">
        <f t="shared" si="49"/>
        <v>7</v>
      </c>
      <c r="G12" s="131">
        <v>0.12</v>
      </c>
      <c r="H12" s="132">
        <v>21311.06</v>
      </c>
      <c r="I12" s="133">
        <v>21089.06</v>
      </c>
      <c r="J12" s="134">
        <f t="shared" si="0"/>
        <v>98.958287386924908</v>
      </c>
      <c r="K12" s="134">
        <f>ABS(J12-K5)</f>
        <v>1.0417126130750916</v>
      </c>
      <c r="L12" s="135">
        <f t="shared" si="50"/>
        <v>5</v>
      </c>
      <c r="M12" s="136">
        <v>0.1</v>
      </c>
      <c r="N12" s="137">
        <v>8224.1020000000008</v>
      </c>
      <c r="O12" s="138">
        <f t="shared" si="51"/>
        <v>8621</v>
      </c>
      <c r="P12" s="139">
        <f t="shared" si="52"/>
        <v>0.95396148938638214</v>
      </c>
      <c r="Q12" s="135">
        <f t="shared" si="1"/>
        <v>15</v>
      </c>
      <c r="R12" s="136">
        <v>0.1</v>
      </c>
      <c r="S12" s="137">
        <v>46101.17211</v>
      </c>
      <c r="T12" s="128">
        <v>45847.138310000002</v>
      </c>
      <c r="U12" s="134">
        <f t="shared" si="2"/>
        <v>99.448964552584783</v>
      </c>
      <c r="V12" s="135">
        <f t="shared" si="3"/>
        <v>2</v>
      </c>
      <c r="W12" s="136">
        <v>0.1</v>
      </c>
      <c r="X12" s="137">
        <v>42531.300590000006</v>
      </c>
      <c r="Y12" s="140">
        <v>6182.3832699999994</v>
      </c>
      <c r="Z12" s="134">
        <f t="shared" si="4"/>
        <v>14.536078568576871</v>
      </c>
      <c r="AA12" s="130">
        <f t="shared" si="5"/>
        <v>10</v>
      </c>
      <c r="AB12" s="136">
        <v>0.1</v>
      </c>
      <c r="AC12" s="141">
        <f t="shared" si="53"/>
        <v>45847.138310000002</v>
      </c>
      <c r="AD12" s="142">
        <v>1772.6483600000001</v>
      </c>
      <c r="AE12" s="129">
        <f t="shared" si="6"/>
        <v>3.8664318545119682</v>
      </c>
      <c r="AF12" s="130">
        <f t="shared" si="7"/>
        <v>8</v>
      </c>
      <c r="AG12" s="131">
        <v>0.12</v>
      </c>
      <c r="AH12" s="143">
        <v>0</v>
      </c>
      <c r="AI12" s="142">
        <f t="shared" si="54"/>
        <v>46101.17211</v>
      </c>
      <c r="AJ12" s="144">
        <f t="shared" si="8"/>
        <v>0</v>
      </c>
      <c r="AK12" s="145">
        <f t="shared" si="9"/>
        <v>1</v>
      </c>
      <c r="AL12" s="146">
        <v>0.08</v>
      </c>
      <c r="AM12" s="147">
        <v>1.3957824999999997</v>
      </c>
      <c r="AN12" s="142">
        <f t="shared" si="55"/>
        <v>21089.06</v>
      </c>
      <c r="AO12" s="148">
        <f t="shared" si="10"/>
        <v>6.6185145283858054E-3</v>
      </c>
      <c r="AP12" s="145">
        <f t="shared" si="11"/>
        <v>12</v>
      </c>
      <c r="AQ12" s="146">
        <v>0.08</v>
      </c>
      <c r="AR12" s="149">
        <f t="shared" si="56"/>
        <v>0.79999999999999993</v>
      </c>
      <c r="AS12" s="150">
        <f t="shared" si="57"/>
        <v>6.04</v>
      </c>
      <c r="AT12" s="151">
        <f t="shared" si="58"/>
        <v>5</v>
      </c>
      <c r="AU12" s="152">
        <v>8647</v>
      </c>
      <c r="AV12" s="138">
        <v>8621</v>
      </c>
      <c r="AW12" s="134">
        <f t="shared" si="12"/>
        <v>99.699317682433204</v>
      </c>
      <c r="AX12" s="135">
        <f t="shared" si="13"/>
        <v>9</v>
      </c>
      <c r="AY12" s="153">
        <v>0.12</v>
      </c>
      <c r="AZ12" s="154">
        <v>29</v>
      </c>
      <c r="BA12" s="129">
        <f t="shared" si="14"/>
        <v>0.93548387096774188</v>
      </c>
      <c r="BB12" s="130">
        <f t="shared" si="15"/>
        <v>2</v>
      </c>
      <c r="BC12" s="131">
        <v>0.12</v>
      </c>
      <c r="BD12" s="141">
        <v>4572.3999999999996</v>
      </c>
      <c r="BE12" s="126">
        <v>10.8</v>
      </c>
      <c r="BF12" s="142">
        <f t="shared" si="16"/>
        <v>35280.864197530864</v>
      </c>
      <c r="BG12" s="155">
        <f t="shared" si="59"/>
        <v>104.63820683195677</v>
      </c>
      <c r="BH12" s="156">
        <f>ABS(BG12-BH5)</f>
        <v>4.6382068319567651</v>
      </c>
      <c r="BI12" s="130">
        <f t="shared" si="60"/>
        <v>8</v>
      </c>
      <c r="BJ12" s="131">
        <v>0.15</v>
      </c>
      <c r="BK12" s="157">
        <v>16</v>
      </c>
      <c r="BL12" s="158">
        <v>3</v>
      </c>
      <c r="BM12" s="159">
        <f t="shared" si="61"/>
        <v>533.33333333333326</v>
      </c>
      <c r="BN12" s="160">
        <f t="shared" si="62"/>
        <v>16</v>
      </c>
      <c r="BO12" s="153">
        <v>0.11</v>
      </c>
      <c r="BP12" s="161">
        <v>9</v>
      </c>
      <c r="BQ12" s="158">
        <v>70</v>
      </c>
      <c r="BR12" s="134">
        <f t="shared" si="17"/>
        <v>12.857142857142856</v>
      </c>
      <c r="BS12" s="135">
        <f t="shared" si="18"/>
        <v>12</v>
      </c>
      <c r="BT12" s="153">
        <v>0.03</v>
      </c>
      <c r="BU12" s="161">
        <v>3</v>
      </c>
      <c r="BV12" s="158">
        <v>3</v>
      </c>
      <c r="BW12" s="134">
        <f t="shared" si="19"/>
        <v>100</v>
      </c>
      <c r="BX12" s="135">
        <f t="shared" si="20"/>
        <v>1</v>
      </c>
      <c r="BY12" s="153">
        <v>7.0000000000000007E-2</v>
      </c>
      <c r="BZ12" s="162">
        <f t="shared" si="63"/>
        <v>0.60000000000000009</v>
      </c>
      <c r="CA12" s="150">
        <f t="shared" si="64"/>
        <v>4.7100000000000009</v>
      </c>
      <c r="CB12" s="163">
        <f t="shared" si="65"/>
        <v>6</v>
      </c>
      <c r="CC12" s="164"/>
      <c r="CD12" s="165"/>
      <c r="CE12" s="166">
        <v>0</v>
      </c>
      <c r="CF12" s="135">
        <f t="shared" si="93"/>
        <v>1</v>
      </c>
      <c r="CG12" s="131">
        <v>0.02</v>
      </c>
      <c r="CH12" s="167">
        <v>5.8000000000000003E-2</v>
      </c>
      <c r="CI12" s="130">
        <f t="shared" si="21"/>
        <v>4</v>
      </c>
      <c r="CJ12" s="131">
        <v>0.15</v>
      </c>
      <c r="CK12" s="134">
        <v>57.84</v>
      </c>
      <c r="CL12" s="135">
        <f t="shared" si="66"/>
        <v>14</v>
      </c>
      <c r="CM12" s="153">
        <v>0.08</v>
      </c>
      <c r="CN12" s="161">
        <v>18</v>
      </c>
      <c r="CO12" s="135">
        <f t="shared" si="67"/>
        <v>6</v>
      </c>
      <c r="CP12" s="153">
        <v>0.15</v>
      </c>
      <c r="CQ12" s="168">
        <f t="shared" si="22"/>
        <v>0.4</v>
      </c>
      <c r="CR12" s="150">
        <f t="shared" si="68"/>
        <v>2.64</v>
      </c>
      <c r="CS12" s="151">
        <f t="shared" si="69"/>
        <v>3</v>
      </c>
      <c r="CT12" s="152">
        <v>3</v>
      </c>
      <c r="CU12" s="134">
        <v>1</v>
      </c>
      <c r="CV12" s="158">
        <f t="shared" si="23"/>
        <v>1</v>
      </c>
      <c r="CW12" s="136">
        <v>0.1</v>
      </c>
      <c r="CX12" s="161">
        <v>1</v>
      </c>
      <c r="CY12" s="135">
        <f t="shared" si="24"/>
        <v>1</v>
      </c>
      <c r="CZ12" s="153">
        <v>0.15</v>
      </c>
      <c r="DA12" s="161">
        <v>14</v>
      </c>
      <c r="DB12" s="158">
        <v>14</v>
      </c>
      <c r="DC12" s="158">
        <f t="shared" si="25"/>
        <v>100</v>
      </c>
      <c r="DD12" s="135">
        <f t="shared" si="26"/>
        <v>1</v>
      </c>
      <c r="DE12" s="153">
        <v>0.15</v>
      </c>
      <c r="DF12" s="161">
        <v>83</v>
      </c>
      <c r="DG12" s="158">
        <v>83</v>
      </c>
      <c r="DH12" s="134">
        <f t="shared" si="70"/>
        <v>100</v>
      </c>
      <c r="DI12" s="134">
        <f t="shared" si="71"/>
        <v>0</v>
      </c>
      <c r="DJ12" s="135">
        <f t="shared" si="72"/>
        <v>1</v>
      </c>
      <c r="DK12" s="153">
        <v>0.05</v>
      </c>
      <c r="DL12" s="175">
        <v>0</v>
      </c>
      <c r="DM12" s="134">
        <v>0</v>
      </c>
      <c r="DN12" s="134">
        <v>0</v>
      </c>
      <c r="DO12" s="158">
        <f t="shared" si="73"/>
        <v>7</v>
      </c>
      <c r="DP12" s="153">
        <v>0.05</v>
      </c>
      <c r="DQ12" s="168">
        <f t="shared" si="74"/>
        <v>0.5</v>
      </c>
      <c r="DR12" s="150">
        <f t="shared" si="75"/>
        <v>0.8</v>
      </c>
      <c r="DS12" s="163">
        <f t="shared" si="76"/>
        <v>1</v>
      </c>
      <c r="DT12" s="170">
        <v>51</v>
      </c>
      <c r="DU12" s="171">
        <v>51</v>
      </c>
      <c r="DV12" s="172">
        <f t="shared" si="27"/>
        <v>100</v>
      </c>
      <c r="DW12" s="173">
        <f t="shared" si="94"/>
        <v>1</v>
      </c>
      <c r="DX12" s="131">
        <v>0.2</v>
      </c>
      <c r="DY12" s="162">
        <v>59.8</v>
      </c>
      <c r="DZ12" s="135">
        <f t="shared" si="28"/>
        <v>6</v>
      </c>
      <c r="EA12" s="153">
        <v>0.2</v>
      </c>
      <c r="EB12" s="161">
        <v>26</v>
      </c>
      <c r="EC12" s="134">
        <f t="shared" si="29"/>
        <v>100</v>
      </c>
      <c r="ED12" s="135">
        <f t="shared" si="30"/>
        <v>1</v>
      </c>
      <c r="EE12" s="136">
        <v>0.1</v>
      </c>
      <c r="EF12" s="161">
        <v>1</v>
      </c>
      <c r="EG12" s="135">
        <f t="shared" si="31"/>
        <v>1</v>
      </c>
      <c r="EH12" s="153">
        <v>0.05</v>
      </c>
      <c r="EI12" s="161">
        <v>1</v>
      </c>
      <c r="EJ12" s="135">
        <f t="shared" si="32"/>
        <v>1</v>
      </c>
      <c r="EK12" s="153">
        <v>0.05</v>
      </c>
      <c r="EL12" s="161">
        <v>0</v>
      </c>
      <c r="EM12" s="135">
        <f t="shared" si="33"/>
        <v>2</v>
      </c>
      <c r="EN12" s="174">
        <v>0.1</v>
      </c>
      <c r="EO12" s="161">
        <v>5</v>
      </c>
      <c r="EP12" s="158">
        <v>17</v>
      </c>
      <c r="EQ12" s="134">
        <f t="shared" si="34"/>
        <v>29.411764705882355</v>
      </c>
      <c r="ER12" s="135">
        <f t="shared" si="35"/>
        <v>12</v>
      </c>
      <c r="ES12" s="153">
        <v>0.05</v>
      </c>
      <c r="ET12" s="134">
        <v>19.428703596623109</v>
      </c>
      <c r="EU12" s="134">
        <v>20.531260874608513</v>
      </c>
      <c r="EV12" s="134">
        <f t="shared" si="77"/>
        <v>105.67488856115463</v>
      </c>
      <c r="EW12" s="135">
        <f t="shared" si="36"/>
        <v>6</v>
      </c>
      <c r="EX12" s="153">
        <v>0.15</v>
      </c>
      <c r="EY12" s="161">
        <v>0</v>
      </c>
      <c r="EZ12" s="134">
        <f t="shared" si="78"/>
        <v>0</v>
      </c>
      <c r="FA12" s="135">
        <f t="shared" si="37"/>
        <v>8</v>
      </c>
      <c r="FB12" s="153">
        <v>0.05</v>
      </c>
      <c r="FC12" s="161">
        <v>0</v>
      </c>
      <c r="FD12" s="134">
        <f t="shared" si="79"/>
        <v>0</v>
      </c>
      <c r="FE12" s="135">
        <f t="shared" si="38"/>
        <v>8</v>
      </c>
      <c r="FF12" s="153">
        <v>0.05</v>
      </c>
      <c r="FG12" s="175">
        <v>1</v>
      </c>
      <c r="FH12" s="135">
        <f t="shared" si="80"/>
        <v>1</v>
      </c>
      <c r="FI12" s="174">
        <v>0.1</v>
      </c>
      <c r="FJ12" s="175">
        <v>0.8</v>
      </c>
      <c r="FK12" s="135">
        <f t="shared" si="81"/>
        <v>9</v>
      </c>
      <c r="FL12" s="153">
        <v>0.1</v>
      </c>
      <c r="FM12" s="175">
        <v>0.3</v>
      </c>
      <c r="FN12" s="158">
        <f t="shared" si="82"/>
        <v>4</v>
      </c>
      <c r="FO12" s="153">
        <v>0.1</v>
      </c>
      <c r="FP12" s="175">
        <v>0.7</v>
      </c>
      <c r="FQ12" s="135">
        <f t="shared" si="83"/>
        <v>4</v>
      </c>
      <c r="FR12" s="153">
        <v>0.1</v>
      </c>
      <c r="FS12" s="176">
        <f t="shared" si="39"/>
        <v>1.4000000000000006</v>
      </c>
      <c r="FT12" s="150">
        <f t="shared" si="84"/>
        <v>5.9000000000000012</v>
      </c>
      <c r="FU12" s="130">
        <f t="shared" si="85"/>
        <v>4</v>
      </c>
      <c r="FV12" s="126">
        <v>38</v>
      </c>
      <c r="FW12" s="126">
        <v>38</v>
      </c>
      <c r="FX12" s="177">
        <f t="shared" si="40"/>
        <v>100</v>
      </c>
      <c r="FY12" s="130">
        <f t="shared" si="41"/>
        <v>1</v>
      </c>
      <c r="FZ12" s="178">
        <v>0.1</v>
      </c>
      <c r="GA12" s="179">
        <f>92/AU12*1000</f>
        <v>10.63952816005551</v>
      </c>
      <c r="GB12" s="129">
        <f>68/AV12*1000</f>
        <v>7.8877160422224799</v>
      </c>
      <c r="GC12" s="168">
        <f t="shared" si="86"/>
        <v>74.135957192497585</v>
      </c>
      <c r="GD12" s="135">
        <f t="shared" si="42"/>
        <v>5</v>
      </c>
      <c r="GE12" s="136">
        <v>0.1</v>
      </c>
      <c r="GF12" s="180">
        <v>52</v>
      </c>
      <c r="GG12" s="181">
        <v>52</v>
      </c>
      <c r="GH12" s="134">
        <f t="shared" si="43"/>
        <v>100</v>
      </c>
      <c r="GI12" s="135">
        <v>1</v>
      </c>
      <c r="GJ12" s="182">
        <v>0.1</v>
      </c>
      <c r="GK12" s="161">
        <v>32</v>
      </c>
      <c r="GL12" s="183">
        <f t="shared" si="87"/>
        <v>3.7118663728105785</v>
      </c>
      <c r="GM12" s="135">
        <f t="shared" si="88"/>
        <v>11</v>
      </c>
      <c r="GN12" s="136">
        <v>0.1</v>
      </c>
      <c r="GO12" s="161">
        <v>0</v>
      </c>
      <c r="GP12" s="134">
        <f t="shared" si="44"/>
        <v>0</v>
      </c>
      <c r="GQ12" s="135">
        <f t="shared" si="45"/>
        <v>1</v>
      </c>
      <c r="GR12" s="182">
        <v>0.1</v>
      </c>
      <c r="GS12" s="184">
        <f t="shared" si="46"/>
        <v>0.5</v>
      </c>
      <c r="GT12" s="150">
        <f t="shared" si="89"/>
        <v>1.9000000000000001</v>
      </c>
      <c r="GU12" s="163">
        <f t="shared" si="90"/>
        <v>4</v>
      </c>
      <c r="GV12" s="185">
        <f t="shared" si="47"/>
        <v>2.8166666666666669</v>
      </c>
      <c r="GW12" s="186">
        <f t="shared" si="91"/>
        <v>1</v>
      </c>
      <c r="GX12" s="186" t="s">
        <v>165</v>
      </c>
    </row>
    <row r="13" spans="1:206" s="9" customFormat="1" ht="15.75" x14ac:dyDescent="0.25">
      <c r="A13" s="187">
        <v>7</v>
      </c>
      <c r="B13" s="188" t="s">
        <v>171</v>
      </c>
      <c r="C13" s="189">
        <v>59268.491999999998</v>
      </c>
      <c r="D13" s="189">
        <v>64771.14</v>
      </c>
      <c r="E13" s="190">
        <f t="shared" si="48"/>
        <v>109.28427198721371</v>
      </c>
      <c r="F13" s="191">
        <f t="shared" si="49"/>
        <v>8</v>
      </c>
      <c r="G13" s="192">
        <v>0.12</v>
      </c>
      <c r="H13" s="193">
        <v>65422.05</v>
      </c>
      <c r="I13" s="194">
        <v>64771.14</v>
      </c>
      <c r="J13" s="195">
        <f t="shared" si="0"/>
        <v>99.005060220521983</v>
      </c>
      <c r="K13" s="195">
        <f>ABS(J13-K5)</f>
        <v>0.99493977947801682</v>
      </c>
      <c r="L13" s="196">
        <f t="shared" si="50"/>
        <v>4</v>
      </c>
      <c r="M13" s="197">
        <v>0.1</v>
      </c>
      <c r="N13" s="198">
        <v>47542.197</v>
      </c>
      <c r="O13" s="199">
        <f t="shared" si="51"/>
        <v>14809</v>
      </c>
      <c r="P13" s="200">
        <f t="shared" si="52"/>
        <v>3.2103583631575394</v>
      </c>
      <c r="Q13" s="196">
        <f t="shared" si="1"/>
        <v>4</v>
      </c>
      <c r="R13" s="197">
        <v>0.1</v>
      </c>
      <c r="S13" s="198">
        <v>118961.57256</v>
      </c>
      <c r="T13" s="189">
        <v>117572.98621999999</v>
      </c>
      <c r="U13" s="195">
        <f t="shared" si="2"/>
        <v>98.832743792706964</v>
      </c>
      <c r="V13" s="196">
        <f t="shared" si="3"/>
        <v>3</v>
      </c>
      <c r="W13" s="197">
        <v>0.1</v>
      </c>
      <c r="X13" s="198">
        <v>99421.369250000003</v>
      </c>
      <c r="Y13" s="201">
        <v>7727.2444299999997</v>
      </c>
      <c r="Z13" s="195">
        <f t="shared" si="4"/>
        <v>7.772216866747689</v>
      </c>
      <c r="AA13" s="191">
        <f t="shared" si="5"/>
        <v>1</v>
      </c>
      <c r="AB13" s="197">
        <v>0.1</v>
      </c>
      <c r="AC13" s="202">
        <f t="shared" si="53"/>
        <v>117572.98621999999</v>
      </c>
      <c r="AD13" s="203">
        <v>25370.648539999998</v>
      </c>
      <c r="AE13" s="190">
        <f t="shared" si="6"/>
        <v>21.578637538836514</v>
      </c>
      <c r="AF13" s="191">
        <f t="shared" si="7"/>
        <v>3</v>
      </c>
      <c r="AG13" s="192">
        <v>0.12</v>
      </c>
      <c r="AH13" s="204">
        <v>0</v>
      </c>
      <c r="AI13" s="203">
        <f t="shared" si="54"/>
        <v>118961.57256</v>
      </c>
      <c r="AJ13" s="205">
        <f t="shared" si="8"/>
        <v>0</v>
      </c>
      <c r="AK13" s="206">
        <f t="shared" si="9"/>
        <v>1</v>
      </c>
      <c r="AL13" s="207">
        <v>0.08</v>
      </c>
      <c r="AM13" s="208">
        <v>0.83333333333333337</v>
      </c>
      <c r="AN13" s="203">
        <f t="shared" si="55"/>
        <v>64771.14</v>
      </c>
      <c r="AO13" s="209">
        <f t="shared" si="10"/>
        <v>1.286581235614092E-3</v>
      </c>
      <c r="AP13" s="206">
        <f t="shared" si="11"/>
        <v>9</v>
      </c>
      <c r="AQ13" s="207">
        <v>0.08</v>
      </c>
      <c r="AR13" s="210">
        <f t="shared" si="56"/>
        <v>0.79999999999999993</v>
      </c>
      <c r="AS13" s="211">
        <f t="shared" si="57"/>
        <v>3.3199999999999994</v>
      </c>
      <c r="AT13" s="212">
        <f t="shared" si="58"/>
        <v>1</v>
      </c>
      <c r="AU13" s="213">
        <v>14242</v>
      </c>
      <c r="AV13" s="199">
        <v>14809</v>
      </c>
      <c r="AW13" s="195">
        <f t="shared" si="12"/>
        <v>103.98118241819969</v>
      </c>
      <c r="AX13" s="196">
        <f t="shared" si="13"/>
        <v>2</v>
      </c>
      <c r="AY13" s="214">
        <v>0.12</v>
      </c>
      <c r="AZ13" s="215">
        <v>31</v>
      </c>
      <c r="BA13" s="190">
        <f>AZ13/31</f>
        <v>1</v>
      </c>
      <c r="BB13" s="191">
        <f t="shared" si="15"/>
        <v>1</v>
      </c>
      <c r="BC13" s="192">
        <v>0.12</v>
      </c>
      <c r="BD13" s="202">
        <v>12807.8</v>
      </c>
      <c r="BE13" s="187">
        <v>29.4</v>
      </c>
      <c r="BF13" s="203">
        <f t="shared" si="16"/>
        <v>36303.287981859408</v>
      </c>
      <c r="BG13" s="216">
        <f t="shared" si="59"/>
        <v>107.67057562018985</v>
      </c>
      <c r="BH13" s="217">
        <f>ABS(BG13-BH5)</f>
        <v>7.670575620189851</v>
      </c>
      <c r="BI13" s="191">
        <f t="shared" si="60"/>
        <v>12</v>
      </c>
      <c r="BJ13" s="192">
        <v>0.15</v>
      </c>
      <c r="BK13" s="218">
        <v>34</v>
      </c>
      <c r="BL13" s="219">
        <v>26</v>
      </c>
      <c r="BM13" s="220">
        <f t="shared" si="61"/>
        <v>130.76923076923077</v>
      </c>
      <c r="BN13" s="221">
        <f t="shared" si="62"/>
        <v>8</v>
      </c>
      <c r="BO13" s="214">
        <v>0.11</v>
      </c>
      <c r="BP13" s="222">
        <v>47</v>
      </c>
      <c r="BQ13" s="219">
        <v>168</v>
      </c>
      <c r="BR13" s="195">
        <f t="shared" si="17"/>
        <v>27.976190476190478</v>
      </c>
      <c r="BS13" s="196">
        <f t="shared" si="18"/>
        <v>7</v>
      </c>
      <c r="BT13" s="214">
        <v>0.03</v>
      </c>
      <c r="BU13" s="222">
        <v>10</v>
      </c>
      <c r="BV13" s="219">
        <v>10</v>
      </c>
      <c r="BW13" s="195">
        <f t="shared" si="19"/>
        <v>100</v>
      </c>
      <c r="BX13" s="196">
        <f t="shared" si="20"/>
        <v>1</v>
      </c>
      <c r="BY13" s="214">
        <v>7.0000000000000007E-2</v>
      </c>
      <c r="BZ13" s="223">
        <f t="shared" si="63"/>
        <v>0.60000000000000009</v>
      </c>
      <c r="CA13" s="211">
        <f t="shared" si="64"/>
        <v>3.3199999999999994</v>
      </c>
      <c r="CB13" s="224">
        <f t="shared" si="65"/>
        <v>1</v>
      </c>
      <c r="CC13" s="225"/>
      <c r="CD13" s="226"/>
      <c r="CE13" s="227">
        <v>2.3999999999999998E-3</v>
      </c>
      <c r="CF13" s="196">
        <f t="shared" si="93"/>
        <v>14</v>
      </c>
      <c r="CG13" s="192">
        <v>0.02</v>
      </c>
      <c r="CH13" s="228">
        <v>0.73699999999999999</v>
      </c>
      <c r="CI13" s="191">
        <f t="shared" si="21"/>
        <v>15</v>
      </c>
      <c r="CJ13" s="192">
        <v>0.15</v>
      </c>
      <c r="CK13" s="195">
        <v>81.290000000000006</v>
      </c>
      <c r="CL13" s="196">
        <f t="shared" si="66"/>
        <v>10</v>
      </c>
      <c r="CM13" s="214">
        <v>0.08</v>
      </c>
      <c r="CN13" s="222">
        <v>17</v>
      </c>
      <c r="CO13" s="196">
        <f t="shared" si="67"/>
        <v>8</v>
      </c>
      <c r="CP13" s="214">
        <v>0.15</v>
      </c>
      <c r="CQ13" s="229">
        <f t="shared" si="22"/>
        <v>0.4</v>
      </c>
      <c r="CR13" s="211">
        <f t="shared" si="68"/>
        <v>4.53</v>
      </c>
      <c r="CS13" s="212">
        <f t="shared" si="69"/>
        <v>15</v>
      </c>
      <c r="CT13" s="213">
        <v>3</v>
      </c>
      <c r="CU13" s="195">
        <v>1</v>
      </c>
      <c r="CV13" s="219">
        <f t="shared" si="23"/>
        <v>1</v>
      </c>
      <c r="CW13" s="197">
        <v>0.1</v>
      </c>
      <c r="CX13" s="222">
        <v>1</v>
      </c>
      <c r="CY13" s="196">
        <f t="shared" si="24"/>
        <v>1</v>
      </c>
      <c r="CZ13" s="214">
        <v>0.15</v>
      </c>
      <c r="DA13" s="222">
        <v>79</v>
      </c>
      <c r="DB13" s="219">
        <v>79</v>
      </c>
      <c r="DC13" s="219">
        <f t="shared" si="25"/>
        <v>100</v>
      </c>
      <c r="DD13" s="196">
        <f t="shared" si="26"/>
        <v>1</v>
      </c>
      <c r="DE13" s="214">
        <v>0.15</v>
      </c>
      <c r="DF13" s="222">
        <v>1023</v>
      </c>
      <c r="DG13" s="219">
        <v>532</v>
      </c>
      <c r="DH13" s="195">
        <f t="shared" si="70"/>
        <v>52.003910068426194</v>
      </c>
      <c r="DI13" s="195">
        <f t="shared" si="71"/>
        <v>47.996089931573806</v>
      </c>
      <c r="DJ13" s="196">
        <f t="shared" si="72"/>
        <v>10</v>
      </c>
      <c r="DK13" s="214">
        <v>0.05</v>
      </c>
      <c r="DL13" s="236">
        <v>0</v>
      </c>
      <c r="DM13" s="195">
        <v>0</v>
      </c>
      <c r="DN13" s="195">
        <v>0</v>
      </c>
      <c r="DO13" s="219">
        <f t="shared" si="73"/>
        <v>7</v>
      </c>
      <c r="DP13" s="214">
        <v>0.05</v>
      </c>
      <c r="DQ13" s="229">
        <f t="shared" si="74"/>
        <v>0.5</v>
      </c>
      <c r="DR13" s="211">
        <f t="shared" si="75"/>
        <v>1.25</v>
      </c>
      <c r="DS13" s="224">
        <f>RANK(DR13,$DR$7:$DR$23,1)</f>
        <v>4</v>
      </c>
      <c r="DT13" s="231">
        <v>60</v>
      </c>
      <c r="DU13" s="232">
        <v>60</v>
      </c>
      <c r="DV13" s="233">
        <f t="shared" si="27"/>
        <v>100</v>
      </c>
      <c r="DW13" s="234">
        <f t="shared" si="94"/>
        <v>1</v>
      </c>
      <c r="DX13" s="192">
        <v>0.2</v>
      </c>
      <c r="DY13" s="223">
        <v>32.299999999999997</v>
      </c>
      <c r="DZ13" s="196">
        <f t="shared" si="28"/>
        <v>12</v>
      </c>
      <c r="EA13" s="214">
        <v>0.2</v>
      </c>
      <c r="EB13" s="222">
        <v>26</v>
      </c>
      <c r="EC13" s="195">
        <f t="shared" si="29"/>
        <v>100</v>
      </c>
      <c r="ED13" s="196">
        <f t="shared" si="30"/>
        <v>1</v>
      </c>
      <c r="EE13" s="197">
        <v>0.1</v>
      </c>
      <c r="EF13" s="222">
        <v>1</v>
      </c>
      <c r="EG13" s="196">
        <f t="shared" si="31"/>
        <v>1</v>
      </c>
      <c r="EH13" s="214">
        <v>0.05</v>
      </c>
      <c r="EI13" s="222">
        <v>1</v>
      </c>
      <c r="EJ13" s="196">
        <f t="shared" si="32"/>
        <v>1</v>
      </c>
      <c r="EK13" s="214">
        <v>0.05</v>
      </c>
      <c r="EL13" s="222">
        <v>1</v>
      </c>
      <c r="EM13" s="196">
        <f t="shared" si="33"/>
        <v>1</v>
      </c>
      <c r="EN13" s="235">
        <v>0.1</v>
      </c>
      <c r="EO13" s="222">
        <v>8</v>
      </c>
      <c r="EP13" s="219">
        <v>16</v>
      </c>
      <c r="EQ13" s="195">
        <f t="shared" si="34"/>
        <v>50</v>
      </c>
      <c r="ER13" s="196">
        <f t="shared" si="35"/>
        <v>14</v>
      </c>
      <c r="ES13" s="214">
        <v>0.05</v>
      </c>
      <c r="ET13" s="195">
        <v>50.273837944108976</v>
      </c>
      <c r="EU13" s="195">
        <v>50.104666081436967</v>
      </c>
      <c r="EV13" s="195">
        <f t="shared" si="77"/>
        <v>99.663499208355475</v>
      </c>
      <c r="EW13" s="196">
        <f t="shared" si="36"/>
        <v>10</v>
      </c>
      <c r="EX13" s="214">
        <v>0.15</v>
      </c>
      <c r="EY13" s="222">
        <v>35</v>
      </c>
      <c r="EZ13" s="195">
        <f t="shared" si="78"/>
        <v>2.3634276453508001</v>
      </c>
      <c r="FA13" s="196">
        <f t="shared" si="37"/>
        <v>1</v>
      </c>
      <c r="FB13" s="214">
        <v>0.05</v>
      </c>
      <c r="FC13" s="222">
        <v>9</v>
      </c>
      <c r="FD13" s="195">
        <f t="shared" si="79"/>
        <v>0.6077385373759201</v>
      </c>
      <c r="FE13" s="196">
        <f t="shared" si="38"/>
        <v>4</v>
      </c>
      <c r="FF13" s="214">
        <v>0.05</v>
      </c>
      <c r="FG13" s="236">
        <v>0.68</v>
      </c>
      <c r="FH13" s="196">
        <f t="shared" si="80"/>
        <v>16</v>
      </c>
      <c r="FI13" s="235">
        <v>0.1</v>
      </c>
      <c r="FJ13" s="236">
        <v>0.68</v>
      </c>
      <c r="FK13" s="196">
        <f t="shared" si="81"/>
        <v>12</v>
      </c>
      <c r="FL13" s="214">
        <v>0.1</v>
      </c>
      <c r="FM13" s="236">
        <v>0.3</v>
      </c>
      <c r="FN13" s="219">
        <f t="shared" si="82"/>
        <v>4</v>
      </c>
      <c r="FO13" s="214">
        <v>0.1</v>
      </c>
      <c r="FP13" s="236">
        <v>1</v>
      </c>
      <c r="FQ13" s="196">
        <f t="shared" si="83"/>
        <v>1</v>
      </c>
      <c r="FR13" s="214">
        <v>0.1</v>
      </c>
      <c r="FS13" s="237">
        <f t="shared" si="39"/>
        <v>1.4000000000000006</v>
      </c>
      <c r="FT13" s="211">
        <f>(DW13*DX13+DZ13*EA13+ED13*EE13+EG13*EH13+EJ13*EK13+EM13*EN13+ER13*ES13+EW13*EX13+FA13*FB13+FE13*FF13+FH13*FI13+FK13*FL13+FN13*FO13+FQ13*FR13)</f>
        <v>8.6500000000000021</v>
      </c>
      <c r="FU13" s="191">
        <f t="shared" si="85"/>
        <v>9</v>
      </c>
      <c r="FV13" s="187">
        <v>55</v>
      </c>
      <c r="FW13" s="187">
        <v>55</v>
      </c>
      <c r="FX13" s="238">
        <f t="shared" si="40"/>
        <v>100</v>
      </c>
      <c r="FY13" s="191">
        <f t="shared" si="41"/>
        <v>1</v>
      </c>
      <c r="FZ13" s="239">
        <v>0.1</v>
      </c>
      <c r="GA13" s="240">
        <f>230/AU13*1000</f>
        <v>16.149417216683048</v>
      </c>
      <c r="GB13" s="190">
        <f>198/AV13*1000</f>
        <v>13.370247822270242</v>
      </c>
      <c r="GC13" s="229">
        <f t="shared" si="86"/>
        <v>82.79089977598818</v>
      </c>
      <c r="GD13" s="196">
        <f t="shared" si="42"/>
        <v>8</v>
      </c>
      <c r="GE13" s="197">
        <v>0.1</v>
      </c>
      <c r="GF13" s="241">
        <v>89</v>
      </c>
      <c r="GG13" s="242">
        <v>89</v>
      </c>
      <c r="GH13" s="195">
        <f t="shared" si="43"/>
        <v>100</v>
      </c>
      <c r="GI13" s="196">
        <v>1</v>
      </c>
      <c r="GJ13" s="243">
        <v>0.1</v>
      </c>
      <c r="GK13" s="222">
        <v>64</v>
      </c>
      <c r="GL13" s="244">
        <f t="shared" si="87"/>
        <v>4.321696265784321</v>
      </c>
      <c r="GM13" s="196">
        <f t="shared" si="88"/>
        <v>13</v>
      </c>
      <c r="GN13" s="197">
        <v>0.1</v>
      </c>
      <c r="GO13" s="222">
        <v>3</v>
      </c>
      <c r="GP13" s="195">
        <f t="shared" si="44"/>
        <v>0.20257951245864</v>
      </c>
      <c r="GQ13" s="196">
        <f t="shared" si="45"/>
        <v>14</v>
      </c>
      <c r="GR13" s="243">
        <v>0.1</v>
      </c>
      <c r="GS13" s="245">
        <f t="shared" si="46"/>
        <v>0.5</v>
      </c>
      <c r="GT13" s="211">
        <f t="shared" si="89"/>
        <v>3.7</v>
      </c>
      <c r="GU13" s="224">
        <f t="shared" si="90"/>
        <v>14</v>
      </c>
      <c r="GV13" s="246">
        <f t="shared" si="47"/>
        <v>4.8333333333333348</v>
      </c>
      <c r="GW13" s="247">
        <f t="shared" si="91"/>
        <v>5</v>
      </c>
      <c r="GX13" s="247">
        <v>2</v>
      </c>
    </row>
    <row r="14" spans="1:206" s="9" customFormat="1" ht="15.75" x14ac:dyDescent="0.25">
      <c r="A14" s="126">
        <v>8</v>
      </c>
      <c r="B14" s="127" t="s">
        <v>172</v>
      </c>
      <c r="C14" s="128">
        <v>24693.732</v>
      </c>
      <c r="D14" s="128">
        <v>23253.94</v>
      </c>
      <c r="E14" s="129">
        <f t="shared" si="48"/>
        <v>94.169402988580259</v>
      </c>
      <c r="F14" s="130">
        <f t="shared" si="49"/>
        <v>14</v>
      </c>
      <c r="G14" s="131">
        <v>0.12</v>
      </c>
      <c r="H14" s="132">
        <v>21149.03</v>
      </c>
      <c r="I14" s="133">
        <v>23253.94</v>
      </c>
      <c r="J14" s="134">
        <f t="shared" si="0"/>
        <v>109.95274960601029</v>
      </c>
      <c r="K14" s="134">
        <f>ABS(J14-K5)</f>
        <v>9.9527496060102862</v>
      </c>
      <c r="L14" s="135">
        <f t="shared" si="50"/>
        <v>12</v>
      </c>
      <c r="M14" s="136">
        <v>0.1</v>
      </c>
      <c r="N14" s="137">
        <v>9128.3220000000001</v>
      </c>
      <c r="O14" s="138">
        <f t="shared" si="51"/>
        <v>10351</v>
      </c>
      <c r="P14" s="139">
        <f t="shared" si="52"/>
        <v>0.88187827263066376</v>
      </c>
      <c r="Q14" s="135">
        <f t="shared" si="1"/>
        <v>17</v>
      </c>
      <c r="R14" s="136">
        <v>0.1</v>
      </c>
      <c r="S14" s="137">
        <v>60219.613440000001</v>
      </c>
      <c r="T14" s="128">
        <v>56091.289850000001</v>
      </c>
      <c r="U14" s="134">
        <f t="shared" si="2"/>
        <v>93.1445531544083</v>
      </c>
      <c r="V14" s="135">
        <f t="shared" si="3"/>
        <v>13</v>
      </c>
      <c r="W14" s="136">
        <v>0.1</v>
      </c>
      <c r="X14" s="137">
        <v>55061.680850000004</v>
      </c>
      <c r="Y14" s="140">
        <v>8012.6984000000002</v>
      </c>
      <c r="Z14" s="134">
        <f t="shared" si="4"/>
        <v>14.552222664303208</v>
      </c>
      <c r="AA14" s="130">
        <f t="shared" si="5"/>
        <v>11</v>
      </c>
      <c r="AB14" s="136">
        <v>0.1</v>
      </c>
      <c r="AC14" s="141">
        <f t="shared" si="53"/>
        <v>56091.289850000001</v>
      </c>
      <c r="AD14" s="142">
        <v>9664.3856099999994</v>
      </c>
      <c r="AE14" s="129">
        <f t="shared" si="6"/>
        <v>17.229743933228519</v>
      </c>
      <c r="AF14" s="130">
        <f t="shared" si="7"/>
        <v>4</v>
      </c>
      <c r="AG14" s="131">
        <v>0.12</v>
      </c>
      <c r="AH14" s="143">
        <v>0</v>
      </c>
      <c r="AI14" s="142">
        <f t="shared" si="54"/>
        <v>60219.613440000001</v>
      </c>
      <c r="AJ14" s="144">
        <f t="shared" si="8"/>
        <v>0</v>
      </c>
      <c r="AK14" s="145">
        <f t="shared" si="9"/>
        <v>1</v>
      </c>
      <c r="AL14" s="146">
        <v>0.08</v>
      </c>
      <c r="AM14" s="147">
        <v>3.0074399999999999</v>
      </c>
      <c r="AN14" s="142">
        <f t="shared" si="55"/>
        <v>23253.94</v>
      </c>
      <c r="AO14" s="148">
        <f t="shared" si="10"/>
        <v>1.2933034143891315E-2</v>
      </c>
      <c r="AP14" s="145">
        <f t="shared" si="11"/>
        <v>15</v>
      </c>
      <c r="AQ14" s="146">
        <v>0.08</v>
      </c>
      <c r="AR14" s="149">
        <f t="shared" si="56"/>
        <v>0.79999999999999993</v>
      </c>
      <c r="AS14" s="150">
        <f t="shared" si="57"/>
        <v>8.74</v>
      </c>
      <c r="AT14" s="151">
        <f t="shared" si="58"/>
        <v>16</v>
      </c>
      <c r="AU14" s="152">
        <v>10432</v>
      </c>
      <c r="AV14" s="138">
        <v>10351</v>
      </c>
      <c r="AW14" s="134">
        <f t="shared" si="12"/>
        <v>99.223542944785279</v>
      </c>
      <c r="AX14" s="135">
        <f t="shared" si="13"/>
        <v>12</v>
      </c>
      <c r="AY14" s="153">
        <v>0.12</v>
      </c>
      <c r="AZ14" s="154">
        <v>29</v>
      </c>
      <c r="BA14" s="129">
        <f t="shared" si="14"/>
        <v>0.93548387096774188</v>
      </c>
      <c r="BB14" s="130">
        <f t="shared" si="15"/>
        <v>2</v>
      </c>
      <c r="BC14" s="131">
        <v>0.12</v>
      </c>
      <c r="BD14" s="141">
        <v>10720.1</v>
      </c>
      <c r="BE14" s="126">
        <v>22.6</v>
      </c>
      <c r="BF14" s="142">
        <f t="shared" si="16"/>
        <v>39528.392330383474</v>
      </c>
      <c r="BG14" s="155">
        <f t="shared" si="59"/>
        <v>117.2357930135643</v>
      </c>
      <c r="BH14" s="156">
        <f>ABS(BG14-BH5)</f>
        <v>17.235793013564304</v>
      </c>
      <c r="BI14" s="130">
        <f t="shared" si="60"/>
        <v>16</v>
      </c>
      <c r="BJ14" s="131">
        <v>0.15</v>
      </c>
      <c r="BK14" s="157">
        <v>15</v>
      </c>
      <c r="BL14" s="158">
        <v>11</v>
      </c>
      <c r="BM14" s="159">
        <f t="shared" si="61"/>
        <v>136.36363636363635</v>
      </c>
      <c r="BN14" s="160">
        <f t="shared" si="62"/>
        <v>9</v>
      </c>
      <c r="BO14" s="153">
        <v>0.11</v>
      </c>
      <c r="BP14" s="161">
        <v>53</v>
      </c>
      <c r="BQ14" s="158">
        <v>111</v>
      </c>
      <c r="BR14" s="134">
        <f t="shared" si="17"/>
        <v>47.747747747747752</v>
      </c>
      <c r="BS14" s="135">
        <f t="shared" si="18"/>
        <v>1</v>
      </c>
      <c r="BT14" s="153">
        <v>0.03</v>
      </c>
      <c r="BU14" s="161">
        <v>6</v>
      </c>
      <c r="BV14" s="158">
        <v>7</v>
      </c>
      <c r="BW14" s="134">
        <f t="shared" si="19"/>
        <v>85.714285714285708</v>
      </c>
      <c r="BX14" s="135">
        <f t="shared" si="20"/>
        <v>13</v>
      </c>
      <c r="BY14" s="153">
        <v>7.0000000000000007E-2</v>
      </c>
      <c r="BZ14" s="162">
        <f t="shared" si="63"/>
        <v>0.60000000000000009</v>
      </c>
      <c r="CA14" s="150">
        <f t="shared" si="64"/>
        <v>6.0100000000000007</v>
      </c>
      <c r="CB14" s="163">
        <f t="shared" si="65"/>
        <v>14</v>
      </c>
      <c r="CC14" s="164"/>
      <c r="CD14" s="165"/>
      <c r="CE14" s="166">
        <v>2.5999999999999999E-3</v>
      </c>
      <c r="CF14" s="135">
        <f t="shared" si="93"/>
        <v>15</v>
      </c>
      <c r="CG14" s="131">
        <v>0.02</v>
      </c>
      <c r="CH14" s="167">
        <v>0.45700000000000002</v>
      </c>
      <c r="CI14" s="130">
        <f t="shared" si="21"/>
        <v>10</v>
      </c>
      <c r="CJ14" s="131">
        <v>0.15</v>
      </c>
      <c r="CK14" s="134">
        <v>87.56</v>
      </c>
      <c r="CL14" s="135">
        <f t="shared" si="66"/>
        <v>4</v>
      </c>
      <c r="CM14" s="153">
        <v>0.08</v>
      </c>
      <c r="CN14" s="161">
        <v>0</v>
      </c>
      <c r="CO14" s="135">
        <f t="shared" si="67"/>
        <v>15</v>
      </c>
      <c r="CP14" s="153">
        <v>0.15</v>
      </c>
      <c r="CQ14" s="168">
        <f t="shared" si="22"/>
        <v>0.4</v>
      </c>
      <c r="CR14" s="150">
        <f t="shared" si="68"/>
        <v>4.37</v>
      </c>
      <c r="CS14" s="151">
        <f t="shared" si="69"/>
        <v>14</v>
      </c>
      <c r="CT14" s="152">
        <v>3</v>
      </c>
      <c r="CU14" s="134">
        <v>1</v>
      </c>
      <c r="CV14" s="158">
        <f t="shared" si="23"/>
        <v>1</v>
      </c>
      <c r="CW14" s="136">
        <v>0.1</v>
      </c>
      <c r="CX14" s="161">
        <v>1</v>
      </c>
      <c r="CY14" s="135">
        <f t="shared" si="24"/>
        <v>1</v>
      </c>
      <c r="CZ14" s="153">
        <v>0.15</v>
      </c>
      <c r="DA14" s="161">
        <v>37</v>
      </c>
      <c r="DB14" s="158">
        <v>36</v>
      </c>
      <c r="DC14" s="158">
        <f t="shared" si="25"/>
        <v>97.297297297297305</v>
      </c>
      <c r="DD14" s="135">
        <f t="shared" si="26"/>
        <v>9</v>
      </c>
      <c r="DE14" s="153">
        <v>0.15</v>
      </c>
      <c r="DF14" s="161">
        <v>378</v>
      </c>
      <c r="DG14" s="158">
        <v>235</v>
      </c>
      <c r="DH14" s="134">
        <f t="shared" si="70"/>
        <v>62.169312169312171</v>
      </c>
      <c r="DI14" s="134">
        <f t="shared" si="71"/>
        <v>37.830687830687829</v>
      </c>
      <c r="DJ14" s="135">
        <f t="shared" si="72"/>
        <v>9</v>
      </c>
      <c r="DK14" s="153">
        <v>0.05</v>
      </c>
      <c r="DL14" s="175">
        <v>8</v>
      </c>
      <c r="DM14" s="134">
        <v>8</v>
      </c>
      <c r="DN14" s="134">
        <f t="shared" si="92"/>
        <v>100</v>
      </c>
      <c r="DO14" s="158">
        <f t="shared" si="73"/>
        <v>1</v>
      </c>
      <c r="DP14" s="153">
        <v>0.05</v>
      </c>
      <c r="DQ14" s="168">
        <f t="shared" si="74"/>
        <v>0.5</v>
      </c>
      <c r="DR14" s="150">
        <f t="shared" si="75"/>
        <v>2.0999999999999996</v>
      </c>
      <c r="DS14" s="163">
        <f t="shared" si="76"/>
        <v>7</v>
      </c>
      <c r="DT14" s="170">
        <v>64</v>
      </c>
      <c r="DU14" s="171">
        <v>64</v>
      </c>
      <c r="DV14" s="172">
        <f t="shared" si="27"/>
        <v>100</v>
      </c>
      <c r="DW14" s="173">
        <f t="shared" si="94"/>
        <v>1</v>
      </c>
      <c r="DX14" s="131">
        <v>0.2</v>
      </c>
      <c r="DY14" s="162">
        <v>63.4</v>
      </c>
      <c r="DZ14" s="135">
        <f t="shared" si="28"/>
        <v>4</v>
      </c>
      <c r="EA14" s="153">
        <v>0.2</v>
      </c>
      <c r="EB14" s="161">
        <v>26</v>
      </c>
      <c r="EC14" s="134">
        <f t="shared" si="29"/>
        <v>100</v>
      </c>
      <c r="ED14" s="135">
        <f t="shared" si="30"/>
        <v>1</v>
      </c>
      <c r="EE14" s="136">
        <v>0.1</v>
      </c>
      <c r="EF14" s="161">
        <v>1</v>
      </c>
      <c r="EG14" s="135">
        <f t="shared" si="31"/>
        <v>1</v>
      </c>
      <c r="EH14" s="153">
        <v>0.05</v>
      </c>
      <c r="EI14" s="161">
        <v>1</v>
      </c>
      <c r="EJ14" s="135">
        <f t="shared" si="32"/>
        <v>1</v>
      </c>
      <c r="EK14" s="153">
        <v>0.05</v>
      </c>
      <c r="EL14" s="161">
        <v>0</v>
      </c>
      <c r="EM14" s="135">
        <f t="shared" si="33"/>
        <v>2</v>
      </c>
      <c r="EN14" s="174">
        <v>0.1</v>
      </c>
      <c r="EO14" s="161">
        <v>14</v>
      </c>
      <c r="EP14" s="158">
        <v>16</v>
      </c>
      <c r="EQ14" s="134">
        <f t="shared" si="34"/>
        <v>87.5</v>
      </c>
      <c r="ER14" s="135">
        <f t="shared" si="35"/>
        <v>17</v>
      </c>
      <c r="ES14" s="153">
        <v>0.05</v>
      </c>
      <c r="ET14" s="134">
        <v>33.550613496932513</v>
      </c>
      <c r="EU14" s="134">
        <v>37.194473963868226</v>
      </c>
      <c r="EV14" s="134">
        <f t="shared" si="77"/>
        <v>110.86078639744954</v>
      </c>
      <c r="EW14" s="135">
        <f t="shared" si="36"/>
        <v>2</v>
      </c>
      <c r="EX14" s="153">
        <v>0.15</v>
      </c>
      <c r="EY14" s="161">
        <v>12</v>
      </c>
      <c r="EZ14" s="134">
        <f t="shared" si="78"/>
        <v>1.1593082793932954</v>
      </c>
      <c r="FA14" s="135">
        <f t="shared" si="37"/>
        <v>2</v>
      </c>
      <c r="FB14" s="153">
        <v>0.05</v>
      </c>
      <c r="FC14" s="161">
        <v>12</v>
      </c>
      <c r="FD14" s="134">
        <f t="shared" si="79"/>
        <v>1.1593082793932954</v>
      </c>
      <c r="FE14" s="135">
        <f t="shared" si="38"/>
        <v>1</v>
      </c>
      <c r="FF14" s="153">
        <v>0.05</v>
      </c>
      <c r="FG14" s="175">
        <v>1</v>
      </c>
      <c r="FH14" s="135">
        <f t="shared" si="80"/>
        <v>1</v>
      </c>
      <c r="FI14" s="174">
        <v>0.1</v>
      </c>
      <c r="FJ14" s="175">
        <v>0.65</v>
      </c>
      <c r="FK14" s="135">
        <f t="shared" si="81"/>
        <v>14</v>
      </c>
      <c r="FL14" s="153">
        <v>0.1</v>
      </c>
      <c r="FM14" s="175">
        <v>0.3</v>
      </c>
      <c r="FN14" s="158">
        <f t="shared" si="82"/>
        <v>4</v>
      </c>
      <c r="FO14" s="153">
        <v>0.1</v>
      </c>
      <c r="FP14" s="175">
        <v>0.7</v>
      </c>
      <c r="FQ14" s="135">
        <f t="shared" si="83"/>
        <v>4</v>
      </c>
      <c r="FR14" s="153">
        <v>0.1</v>
      </c>
      <c r="FS14" s="176">
        <f t="shared" si="39"/>
        <v>1.4000000000000006</v>
      </c>
      <c r="FT14" s="150">
        <f t="shared" si="84"/>
        <v>5.0000000000000009</v>
      </c>
      <c r="FU14" s="130">
        <f t="shared" si="85"/>
        <v>3</v>
      </c>
      <c r="FV14" s="126">
        <v>31</v>
      </c>
      <c r="FW14" s="126">
        <v>31</v>
      </c>
      <c r="FX14" s="177">
        <f t="shared" si="40"/>
        <v>100</v>
      </c>
      <c r="FY14" s="130">
        <f t="shared" si="41"/>
        <v>1</v>
      </c>
      <c r="FZ14" s="178">
        <v>0.1</v>
      </c>
      <c r="GA14" s="179">
        <f>148/AU14*1000</f>
        <v>14.187116564417177</v>
      </c>
      <c r="GB14" s="129">
        <f>140/AV14*1000</f>
        <v>13.525263259588446</v>
      </c>
      <c r="GC14" s="168">
        <f t="shared" si="86"/>
        <v>95.334828597315308</v>
      </c>
      <c r="GD14" s="135">
        <f t="shared" si="42"/>
        <v>14</v>
      </c>
      <c r="GE14" s="136">
        <v>0.1</v>
      </c>
      <c r="GF14" s="180">
        <v>76</v>
      </c>
      <c r="GG14" s="181">
        <v>76</v>
      </c>
      <c r="GH14" s="134">
        <f t="shared" si="43"/>
        <v>100</v>
      </c>
      <c r="GI14" s="135">
        <v>1</v>
      </c>
      <c r="GJ14" s="182">
        <v>0.1</v>
      </c>
      <c r="GK14" s="161">
        <v>38</v>
      </c>
      <c r="GL14" s="183">
        <f t="shared" si="87"/>
        <v>3.6711428847454353</v>
      </c>
      <c r="GM14" s="135">
        <f t="shared" si="88"/>
        <v>10</v>
      </c>
      <c r="GN14" s="136">
        <v>0.1</v>
      </c>
      <c r="GO14" s="161">
        <v>2</v>
      </c>
      <c r="GP14" s="134">
        <f t="shared" si="44"/>
        <v>0.19321804656554922</v>
      </c>
      <c r="GQ14" s="135">
        <f t="shared" si="45"/>
        <v>13</v>
      </c>
      <c r="GR14" s="182">
        <v>0.1</v>
      </c>
      <c r="GS14" s="184">
        <f t="shared" si="46"/>
        <v>0.5</v>
      </c>
      <c r="GT14" s="150">
        <f t="shared" si="89"/>
        <v>3.9000000000000004</v>
      </c>
      <c r="GU14" s="163">
        <f t="shared" si="90"/>
        <v>15</v>
      </c>
      <c r="GV14" s="185">
        <f t="shared" si="47"/>
        <v>7.0000000000000009</v>
      </c>
      <c r="GW14" s="186">
        <f t="shared" si="91"/>
        <v>11</v>
      </c>
      <c r="GX14" s="186" t="s">
        <v>165</v>
      </c>
    </row>
    <row r="15" spans="1:206" s="9" customFormat="1" ht="15.75" x14ac:dyDescent="0.25">
      <c r="A15" s="126">
        <v>9</v>
      </c>
      <c r="B15" s="127" t="s">
        <v>173</v>
      </c>
      <c r="C15" s="128">
        <v>3094.8999999999996</v>
      </c>
      <c r="D15" s="128">
        <v>2978.5</v>
      </c>
      <c r="E15" s="129">
        <f t="shared" si="48"/>
        <v>96.238973795599222</v>
      </c>
      <c r="F15" s="130">
        <f t="shared" si="49"/>
        <v>12</v>
      </c>
      <c r="G15" s="131">
        <v>0.12</v>
      </c>
      <c r="H15" s="132">
        <v>2781.93</v>
      </c>
      <c r="I15" s="133">
        <v>2978.5</v>
      </c>
      <c r="J15" s="134">
        <f t="shared" si="0"/>
        <v>107.0659578062712</v>
      </c>
      <c r="K15" s="134">
        <f>ABS(J15-K5)</f>
        <v>7.0659578062712001</v>
      </c>
      <c r="L15" s="135">
        <f t="shared" si="50"/>
        <v>11</v>
      </c>
      <c r="M15" s="136">
        <v>0.1</v>
      </c>
      <c r="N15" s="137">
        <v>3385.0340000000001</v>
      </c>
      <c r="O15" s="138">
        <f t="shared" si="51"/>
        <v>1492</v>
      </c>
      <c r="P15" s="139">
        <f t="shared" si="52"/>
        <v>2.2687895442359252</v>
      </c>
      <c r="Q15" s="135">
        <f t="shared" si="1"/>
        <v>9</v>
      </c>
      <c r="R15" s="136">
        <v>0.1</v>
      </c>
      <c r="S15" s="137">
        <v>11804.811960000001</v>
      </c>
      <c r="T15" s="128">
        <v>11344.64759</v>
      </c>
      <c r="U15" s="134">
        <f t="shared" si="2"/>
        <v>96.101891571341895</v>
      </c>
      <c r="V15" s="135">
        <f t="shared" si="3"/>
        <v>9</v>
      </c>
      <c r="W15" s="136">
        <v>0.1</v>
      </c>
      <c r="X15" s="137">
        <v>11258.066339999999</v>
      </c>
      <c r="Y15" s="140">
        <v>3095.1178500000001</v>
      </c>
      <c r="Z15" s="134">
        <f t="shared" si="4"/>
        <v>27.492446362685051</v>
      </c>
      <c r="AA15" s="130">
        <f t="shared" si="5"/>
        <v>17</v>
      </c>
      <c r="AB15" s="136">
        <v>0.1</v>
      </c>
      <c r="AC15" s="141">
        <f t="shared" si="53"/>
        <v>11344.64759</v>
      </c>
      <c r="AD15" s="142">
        <v>0</v>
      </c>
      <c r="AE15" s="129">
        <f t="shared" si="6"/>
        <v>0</v>
      </c>
      <c r="AF15" s="130">
        <f t="shared" si="7"/>
        <v>15</v>
      </c>
      <c r="AG15" s="131">
        <v>0.12</v>
      </c>
      <c r="AH15" s="143">
        <v>0</v>
      </c>
      <c r="AI15" s="142">
        <f t="shared" si="54"/>
        <v>11804.811960000001</v>
      </c>
      <c r="AJ15" s="144">
        <f t="shared" si="8"/>
        <v>0</v>
      </c>
      <c r="AK15" s="145">
        <f t="shared" si="9"/>
        <v>1</v>
      </c>
      <c r="AL15" s="146">
        <v>0.08</v>
      </c>
      <c r="AM15" s="147">
        <v>0</v>
      </c>
      <c r="AN15" s="142">
        <f t="shared" si="55"/>
        <v>2978.5</v>
      </c>
      <c r="AO15" s="148">
        <f t="shared" si="10"/>
        <v>0</v>
      </c>
      <c r="AP15" s="145">
        <f t="shared" si="11"/>
        <v>2</v>
      </c>
      <c r="AQ15" s="146">
        <v>0.08</v>
      </c>
      <c r="AR15" s="149">
        <f t="shared" si="56"/>
        <v>0.79999999999999993</v>
      </c>
      <c r="AS15" s="150">
        <f t="shared" si="57"/>
        <v>8.08</v>
      </c>
      <c r="AT15" s="151">
        <f t="shared" si="58"/>
        <v>14</v>
      </c>
      <c r="AU15" s="152">
        <v>1501</v>
      </c>
      <c r="AV15" s="138">
        <v>1492</v>
      </c>
      <c r="AW15" s="134">
        <f t="shared" si="12"/>
        <v>99.400399733510994</v>
      </c>
      <c r="AX15" s="135">
        <f t="shared" si="13"/>
        <v>11</v>
      </c>
      <c r="AY15" s="153">
        <v>0.12</v>
      </c>
      <c r="AZ15" s="154">
        <v>12</v>
      </c>
      <c r="BA15" s="129">
        <f t="shared" si="14"/>
        <v>0.38709677419354838</v>
      </c>
      <c r="BB15" s="130">
        <f t="shared" si="15"/>
        <v>16</v>
      </c>
      <c r="BC15" s="131">
        <v>0.12</v>
      </c>
      <c r="BD15" s="141">
        <v>783.2</v>
      </c>
      <c r="BE15" s="126">
        <v>1.9</v>
      </c>
      <c r="BF15" s="142">
        <f t="shared" si="16"/>
        <v>34350.877192982458</v>
      </c>
      <c r="BG15" s="155">
        <f t="shared" si="59"/>
        <v>101.87999286111594</v>
      </c>
      <c r="BH15" s="156">
        <f>ABS(BG15-BH5)</f>
        <v>1.8799928611159373</v>
      </c>
      <c r="BI15" s="130">
        <f t="shared" si="60"/>
        <v>4</v>
      </c>
      <c r="BJ15" s="131">
        <v>0.15</v>
      </c>
      <c r="BK15" s="157">
        <v>7</v>
      </c>
      <c r="BL15" s="158">
        <v>0.1</v>
      </c>
      <c r="BM15" s="159">
        <v>700</v>
      </c>
      <c r="BN15" s="160">
        <f t="shared" si="62"/>
        <v>17</v>
      </c>
      <c r="BO15" s="153">
        <v>0.11</v>
      </c>
      <c r="BP15" s="161">
        <v>6</v>
      </c>
      <c r="BQ15" s="158">
        <v>21</v>
      </c>
      <c r="BR15" s="134">
        <f t="shared" si="17"/>
        <v>28.571428571428569</v>
      </c>
      <c r="BS15" s="135">
        <f t="shared" si="18"/>
        <v>5</v>
      </c>
      <c r="BT15" s="153">
        <v>0.03</v>
      </c>
      <c r="BU15" s="161">
        <v>2</v>
      </c>
      <c r="BV15" s="158">
        <v>2</v>
      </c>
      <c r="BW15" s="134">
        <f t="shared" si="19"/>
        <v>100</v>
      </c>
      <c r="BX15" s="135">
        <f t="shared" si="20"/>
        <v>1</v>
      </c>
      <c r="BY15" s="153">
        <v>7.0000000000000007E-2</v>
      </c>
      <c r="BZ15" s="162">
        <f t="shared" si="63"/>
        <v>0.60000000000000009</v>
      </c>
      <c r="CA15" s="150">
        <f t="shared" si="64"/>
        <v>5.9300000000000006</v>
      </c>
      <c r="CB15" s="163">
        <f t="shared" si="65"/>
        <v>13</v>
      </c>
      <c r="CC15" s="164"/>
      <c r="CD15" s="165"/>
      <c r="CE15" s="166">
        <v>5.9999999999999995E-4</v>
      </c>
      <c r="CF15" s="135">
        <f t="shared" si="93"/>
        <v>11</v>
      </c>
      <c r="CG15" s="131">
        <v>0.02</v>
      </c>
      <c r="CH15" s="167">
        <v>8.5999999999999993E-2</v>
      </c>
      <c r="CI15" s="130">
        <f t="shared" si="21"/>
        <v>5</v>
      </c>
      <c r="CJ15" s="131">
        <v>0.15</v>
      </c>
      <c r="CK15" s="134">
        <v>2.16</v>
      </c>
      <c r="CL15" s="135">
        <f t="shared" si="66"/>
        <v>17</v>
      </c>
      <c r="CM15" s="153">
        <v>0.08</v>
      </c>
      <c r="CN15" s="161">
        <v>7</v>
      </c>
      <c r="CO15" s="135">
        <f t="shared" si="67"/>
        <v>11</v>
      </c>
      <c r="CP15" s="153">
        <v>0.15</v>
      </c>
      <c r="CQ15" s="168">
        <f t="shared" si="22"/>
        <v>0.4</v>
      </c>
      <c r="CR15" s="150">
        <f t="shared" si="68"/>
        <v>3.98</v>
      </c>
      <c r="CS15" s="151">
        <f t="shared" si="69"/>
        <v>13</v>
      </c>
      <c r="CT15" s="152">
        <v>2</v>
      </c>
      <c r="CU15" s="134">
        <v>0.6</v>
      </c>
      <c r="CV15" s="158">
        <f t="shared" si="23"/>
        <v>15</v>
      </c>
      <c r="CW15" s="136">
        <v>0.1</v>
      </c>
      <c r="CX15" s="161">
        <v>1</v>
      </c>
      <c r="CY15" s="135">
        <f t="shared" si="24"/>
        <v>1</v>
      </c>
      <c r="CZ15" s="153">
        <v>0.15</v>
      </c>
      <c r="DA15" s="161">
        <v>19</v>
      </c>
      <c r="DB15" s="158">
        <v>15</v>
      </c>
      <c r="DC15" s="158">
        <f t="shared" si="25"/>
        <v>78.94736842105263</v>
      </c>
      <c r="DD15" s="135">
        <f t="shared" si="26"/>
        <v>14</v>
      </c>
      <c r="DE15" s="153">
        <v>0.15</v>
      </c>
      <c r="DF15" s="161">
        <v>105</v>
      </c>
      <c r="DG15" s="158">
        <v>105</v>
      </c>
      <c r="DH15" s="134">
        <f t="shared" si="70"/>
        <v>100</v>
      </c>
      <c r="DI15" s="134">
        <f t="shared" si="71"/>
        <v>0</v>
      </c>
      <c r="DJ15" s="135">
        <f t="shared" si="72"/>
        <v>1</v>
      </c>
      <c r="DK15" s="153">
        <v>0.05</v>
      </c>
      <c r="DL15" s="175">
        <v>0</v>
      </c>
      <c r="DM15" s="134">
        <v>0</v>
      </c>
      <c r="DN15" s="134">
        <v>0</v>
      </c>
      <c r="DO15" s="158">
        <f t="shared" si="73"/>
        <v>7</v>
      </c>
      <c r="DP15" s="153">
        <v>0.05</v>
      </c>
      <c r="DQ15" s="168">
        <f t="shared" si="74"/>
        <v>0.5</v>
      </c>
      <c r="DR15" s="150">
        <f t="shared" si="75"/>
        <v>4.1499999999999995</v>
      </c>
      <c r="DS15" s="163">
        <f t="shared" si="76"/>
        <v>15</v>
      </c>
      <c r="DT15" s="170">
        <v>54</v>
      </c>
      <c r="DU15" s="171">
        <v>54</v>
      </c>
      <c r="DV15" s="172">
        <f t="shared" si="27"/>
        <v>100</v>
      </c>
      <c r="DW15" s="173">
        <f t="shared" si="94"/>
        <v>1</v>
      </c>
      <c r="DX15" s="131">
        <v>0.2</v>
      </c>
      <c r="DY15" s="162">
        <v>67.5</v>
      </c>
      <c r="DZ15" s="135">
        <f t="shared" si="28"/>
        <v>2</v>
      </c>
      <c r="EA15" s="153">
        <v>0.2</v>
      </c>
      <c r="EB15" s="161">
        <v>26</v>
      </c>
      <c r="EC15" s="134">
        <f t="shared" si="29"/>
        <v>100</v>
      </c>
      <c r="ED15" s="135">
        <f t="shared" si="30"/>
        <v>1</v>
      </c>
      <c r="EE15" s="136">
        <v>0.1</v>
      </c>
      <c r="EF15" s="161">
        <v>1</v>
      </c>
      <c r="EG15" s="135">
        <f t="shared" si="31"/>
        <v>1</v>
      </c>
      <c r="EH15" s="153">
        <v>0.05</v>
      </c>
      <c r="EI15" s="161">
        <v>1</v>
      </c>
      <c r="EJ15" s="135">
        <f t="shared" si="32"/>
        <v>1</v>
      </c>
      <c r="EK15" s="153">
        <v>0.05</v>
      </c>
      <c r="EL15" s="161">
        <v>0</v>
      </c>
      <c r="EM15" s="135">
        <f t="shared" si="33"/>
        <v>2</v>
      </c>
      <c r="EN15" s="174">
        <v>0.1</v>
      </c>
      <c r="EO15" s="161">
        <v>1</v>
      </c>
      <c r="EP15" s="158">
        <v>14</v>
      </c>
      <c r="EQ15" s="134">
        <f t="shared" si="34"/>
        <v>7.1428571428571423</v>
      </c>
      <c r="ER15" s="135">
        <f t="shared" si="35"/>
        <v>3</v>
      </c>
      <c r="ES15" s="153">
        <v>0.05</v>
      </c>
      <c r="ET15" s="134">
        <v>26.648900732844769</v>
      </c>
      <c r="EU15" s="134">
        <v>26.809651474530831</v>
      </c>
      <c r="EV15" s="134">
        <f t="shared" si="77"/>
        <v>100.60321715817695</v>
      </c>
      <c r="EW15" s="135">
        <f t="shared" si="36"/>
        <v>9</v>
      </c>
      <c r="EX15" s="153">
        <v>0.15</v>
      </c>
      <c r="EY15" s="161">
        <v>0</v>
      </c>
      <c r="EZ15" s="134">
        <f t="shared" si="78"/>
        <v>0</v>
      </c>
      <c r="FA15" s="135">
        <f t="shared" si="37"/>
        <v>8</v>
      </c>
      <c r="FB15" s="153">
        <v>0.05</v>
      </c>
      <c r="FC15" s="161">
        <v>0</v>
      </c>
      <c r="FD15" s="134">
        <f t="shared" si="79"/>
        <v>0</v>
      </c>
      <c r="FE15" s="135">
        <f t="shared" si="38"/>
        <v>8</v>
      </c>
      <c r="FF15" s="153">
        <v>0.05</v>
      </c>
      <c r="FG15" s="175">
        <v>1</v>
      </c>
      <c r="FH15" s="135">
        <f t="shared" si="80"/>
        <v>1</v>
      </c>
      <c r="FI15" s="174">
        <v>0.1</v>
      </c>
      <c r="FJ15" s="175">
        <v>0.83</v>
      </c>
      <c r="FK15" s="135">
        <f t="shared" si="81"/>
        <v>7</v>
      </c>
      <c r="FL15" s="153">
        <v>0.1</v>
      </c>
      <c r="FM15" s="175">
        <v>0.3</v>
      </c>
      <c r="FN15" s="158">
        <f t="shared" si="82"/>
        <v>4</v>
      </c>
      <c r="FO15" s="153">
        <v>0.1</v>
      </c>
      <c r="FP15" s="175">
        <v>0.7</v>
      </c>
      <c r="FQ15" s="135">
        <f t="shared" si="83"/>
        <v>4</v>
      </c>
      <c r="FR15" s="153">
        <v>0.1</v>
      </c>
      <c r="FS15" s="176">
        <f t="shared" si="39"/>
        <v>1.4000000000000006</v>
      </c>
      <c r="FT15" s="150">
        <f t="shared" si="84"/>
        <v>4.9000000000000004</v>
      </c>
      <c r="FU15" s="130">
        <f t="shared" si="85"/>
        <v>2</v>
      </c>
      <c r="FV15" s="126">
        <v>11</v>
      </c>
      <c r="FW15" s="126">
        <v>11</v>
      </c>
      <c r="FX15" s="177">
        <f t="shared" si="40"/>
        <v>100</v>
      </c>
      <c r="FY15" s="130">
        <f t="shared" si="41"/>
        <v>1</v>
      </c>
      <c r="FZ15" s="178">
        <v>0.1</v>
      </c>
      <c r="GA15" s="179">
        <f>19/AU15*1000</f>
        <v>12.658227848101266</v>
      </c>
      <c r="GB15" s="129">
        <f>8/AV15*1000</f>
        <v>5.3619302949061662</v>
      </c>
      <c r="GC15" s="168">
        <f t="shared" si="86"/>
        <v>42.359249329758711</v>
      </c>
      <c r="GD15" s="135">
        <f t="shared" si="42"/>
        <v>1</v>
      </c>
      <c r="GE15" s="136">
        <v>0.1</v>
      </c>
      <c r="GF15" s="180">
        <v>4</v>
      </c>
      <c r="GG15" s="181">
        <v>4</v>
      </c>
      <c r="GH15" s="134">
        <f t="shared" si="43"/>
        <v>100</v>
      </c>
      <c r="GI15" s="135">
        <v>1</v>
      </c>
      <c r="GJ15" s="182">
        <v>0.1</v>
      </c>
      <c r="GK15" s="161">
        <v>11</v>
      </c>
      <c r="GL15" s="183">
        <f t="shared" si="87"/>
        <v>7.3726541554959786</v>
      </c>
      <c r="GM15" s="135">
        <f t="shared" si="88"/>
        <v>16</v>
      </c>
      <c r="GN15" s="136">
        <v>0.1</v>
      </c>
      <c r="GO15" s="161">
        <v>1</v>
      </c>
      <c r="GP15" s="134">
        <f t="shared" si="44"/>
        <v>0.67024128686327078</v>
      </c>
      <c r="GQ15" s="135">
        <f t="shared" si="45"/>
        <v>17</v>
      </c>
      <c r="GR15" s="182">
        <v>0.1</v>
      </c>
      <c r="GS15" s="184">
        <f t="shared" si="46"/>
        <v>0.5</v>
      </c>
      <c r="GT15" s="150">
        <f t="shared" si="89"/>
        <v>3.6000000000000005</v>
      </c>
      <c r="GU15" s="163">
        <f t="shared" si="90"/>
        <v>13</v>
      </c>
      <c r="GV15" s="185">
        <f t="shared" si="47"/>
        <v>6.833333333333333</v>
      </c>
      <c r="GW15" s="186">
        <f t="shared" si="91"/>
        <v>10</v>
      </c>
      <c r="GX15" s="186" t="s">
        <v>165</v>
      </c>
    </row>
    <row r="16" spans="1:206" s="9" customFormat="1" ht="15.75" x14ac:dyDescent="0.25">
      <c r="A16" s="126">
        <v>10</v>
      </c>
      <c r="B16" s="127" t="s">
        <v>174</v>
      </c>
      <c r="C16" s="128">
        <v>3610.9659999999994</v>
      </c>
      <c r="D16" s="128">
        <v>4221.49</v>
      </c>
      <c r="E16" s="129">
        <f t="shared" si="48"/>
        <v>116.907497882838</v>
      </c>
      <c r="F16" s="130">
        <f t="shared" si="49"/>
        <v>5</v>
      </c>
      <c r="G16" s="131">
        <v>0.12</v>
      </c>
      <c r="H16" s="132">
        <v>5716.45</v>
      </c>
      <c r="I16" s="133">
        <v>4221.49</v>
      </c>
      <c r="J16" s="134">
        <f t="shared" si="0"/>
        <v>73.848105030219799</v>
      </c>
      <c r="K16" s="134">
        <f>ABS(J16-K5)</f>
        <v>26.151894969780201</v>
      </c>
      <c r="L16" s="135">
        <f t="shared" si="50"/>
        <v>16</v>
      </c>
      <c r="M16" s="136">
        <v>0.1</v>
      </c>
      <c r="N16" s="137">
        <v>15341.813</v>
      </c>
      <c r="O16" s="138">
        <f t="shared" si="51"/>
        <v>2224</v>
      </c>
      <c r="P16" s="139">
        <f t="shared" si="52"/>
        <v>6.898297212230216</v>
      </c>
      <c r="Q16" s="135">
        <f t="shared" si="1"/>
        <v>1</v>
      </c>
      <c r="R16" s="136">
        <v>0.1</v>
      </c>
      <c r="S16" s="137">
        <v>37214.003669999998</v>
      </c>
      <c r="T16" s="128">
        <v>34245.893479999999</v>
      </c>
      <c r="U16" s="134">
        <f t="shared" si="2"/>
        <v>92.024211594323205</v>
      </c>
      <c r="V16" s="135">
        <f t="shared" si="3"/>
        <v>14</v>
      </c>
      <c r="W16" s="136">
        <v>0.1</v>
      </c>
      <c r="X16" s="137">
        <v>24936.693480000002</v>
      </c>
      <c r="Y16" s="140">
        <v>2609.6314500000003</v>
      </c>
      <c r="Z16" s="134">
        <f t="shared" si="4"/>
        <v>10.465025975047595</v>
      </c>
      <c r="AA16" s="130">
        <f t="shared" si="5"/>
        <v>5</v>
      </c>
      <c r="AB16" s="136">
        <v>0.1</v>
      </c>
      <c r="AC16" s="141">
        <f t="shared" si="53"/>
        <v>34245.893479999999</v>
      </c>
      <c r="AD16" s="142">
        <v>21786.675950000001</v>
      </c>
      <c r="AE16" s="129">
        <f t="shared" si="6"/>
        <v>63.618360439985807</v>
      </c>
      <c r="AF16" s="130">
        <f t="shared" si="7"/>
        <v>1</v>
      </c>
      <c r="AG16" s="131">
        <v>0.12</v>
      </c>
      <c r="AH16" s="143">
        <v>0</v>
      </c>
      <c r="AI16" s="142">
        <f t="shared" si="54"/>
        <v>37214.003669999998</v>
      </c>
      <c r="AJ16" s="144">
        <f t="shared" si="8"/>
        <v>0</v>
      </c>
      <c r="AK16" s="145">
        <f t="shared" si="9"/>
        <v>1</v>
      </c>
      <c r="AL16" s="146">
        <v>0.08</v>
      </c>
      <c r="AM16" s="147">
        <v>4.0433333333333337E-3</v>
      </c>
      <c r="AN16" s="142">
        <f t="shared" si="55"/>
        <v>4221.49</v>
      </c>
      <c r="AO16" s="148">
        <f t="shared" si="10"/>
        <v>9.5779768122945545E-5</v>
      </c>
      <c r="AP16" s="145">
        <f t="shared" si="11"/>
        <v>6</v>
      </c>
      <c r="AQ16" s="146">
        <v>0.08</v>
      </c>
      <c r="AR16" s="149">
        <f t="shared" si="56"/>
        <v>0.79999999999999993</v>
      </c>
      <c r="AS16" s="150">
        <f t="shared" si="57"/>
        <v>4.8800000000000008</v>
      </c>
      <c r="AT16" s="151">
        <f t="shared" si="58"/>
        <v>3</v>
      </c>
      <c r="AU16" s="152">
        <v>2259</v>
      </c>
      <c r="AV16" s="138">
        <v>2224</v>
      </c>
      <c r="AW16" s="134">
        <f t="shared" si="12"/>
        <v>98.4506418769367</v>
      </c>
      <c r="AX16" s="135">
        <f t="shared" si="13"/>
        <v>17</v>
      </c>
      <c r="AY16" s="153">
        <v>0.12</v>
      </c>
      <c r="AZ16" s="154">
        <v>23</v>
      </c>
      <c r="BA16" s="129">
        <f t="shared" si="14"/>
        <v>0.74193548387096775</v>
      </c>
      <c r="BB16" s="130">
        <f t="shared" si="15"/>
        <v>9</v>
      </c>
      <c r="BC16" s="131">
        <v>0.12</v>
      </c>
      <c r="BD16" s="141">
        <v>2102.3000000000002</v>
      </c>
      <c r="BE16" s="177">
        <v>5.6</v>
      </c>
      <c r="BF16" s="142">
        <f t="shared" si="16"/>
        <v>31284.226190476194</v>
      </c>
      <c r="BG16" s="155">
        <f t="shared" si="59"/>
        <v>92.784726370899534</v>
      </c>
      <c r="BH16" s="156">
        <f>ABS(BG16-BH5)</f>
        <v>7.2152736291004658</v>
      </c>
      <c r="BI16" s="130">
        <f t="shared" si="60"/>
        <v>11</v>
      </c>
      <c r="BJ16" s="131">
        <v>0.15</v>
      </c>
      <c r="BK16" s="157">
        <v>2</v>
      </c>
      <c r="BL16" s="158">
        <v>2</v>
      </c>
      <c r="BM16" s="159">
        <f t="shared" si="61"/>
        <v>100</v>
      </c>
      <c r="BN16" s="160">
        <f t="shared" si="62"/>
        <v>4</v>
      </c>
      <c r="BO16" s="153">
        <v>0.11</v>
      </c>
      <c r="BP16" s="161">
        <v>9</v>
      </c>
      <c r="BQ16" s="158">
        <v>24</v>
      </c>
      <c r="BR16" s="134">
        <f t="shared" si="17"/>
        <v>37.5</v>
      </c>
      <c r="BS16" s="135">
        <f t="shared" si="18"/>
        <v>3</v>
      </c>
      <c r="BT16" s="153">
        <v>0.03</v>
      </c>
      <c r="BU16" s="161">
        <v>4</v>
      </c>
      <c r="BV16" s="158">
        <v>4</v>
      </c>
      <c r="BW16" s="134">
        <f t="shared" si="19"/>
        <v>100</v>
      </c>
      <c r="BX16" s="135">
        <f t="shared" si="20"/>
        <v>1</v>
      </c>
      <c r="BY16" s="153">
        <v>7.0000000000000007E-2</v>
      </c>
      <c r="BZ16" s="162">
        <f t="shared" si="63"/>
        <v>0.60000000000000009</v>
      </c>
      <c r="CA16" s="150">
        <f t="shared" si="64"/>
        <v>5.37</v>
      </c>
      <c r="CB16" s="163">
        <f t="shared" si="65"/>
        <v>11</v>
      </c>
      <c r="CC16" s="164"/>
      <c r="CD16" s="165"/>
      <c r="CE16" s="166">
        <v>0</v>
      </c>
      <c r="CF16" s="135">
        <f t="shared" si="93"/>
        <v>1</v>
      </c>
      <c r="CG16" s="131">
        <v>0.02</v>
      </c>
      <c r="CH16" s="167">
        <v>0.53</v>
      </c>
      <c r="CI16" s="130">
        <f t="shared" si="21"/>
        <v>12</v>
      </c>
      <c r="CJ16" s="131">
        <v>0.15</v>
      </c>
      <c r="CK16" s="134">
        <v>46.06</v>
      </c>
      <c r="CL16" s="135">
        <f t="shared" si="66"/>
        <v>16</v>
      </c>
      <c r="CM16" s="153">
        <v>0.08</v>
      </c>
      <c r="CN16" s="161">
        <v>23</v>
      </c>
      <c r="CO16" s="135">
        <f t="shared" si="67"/>
        <v>4</v>
      </c>
      <c r="CP16" s="153">
        <v>0.15</v>
      </c>
      <c r="CQ16" s="168">
        <f t="shared" si="22"/>
        <v>0.4</v>
      </c>
      <c r="CR16" s="150">
        <f t="shared" si="68"/>
        <v>3.6999999999999997</v>
      </c>
      <c r="CS16" s="151">
        <f t="shared" si="69"/>
        <v>11</v>
      </c>
      <c r="CT16" s="152">
        <v>3</v>
      </c>
      <c r="CU16" s="134">
        <v>1</v>
      </c>
      <c r="CV16" s="158">
        <f t="shared" si="23"/>
        <v>1</v>
      </c>
      <c r="CW16" s="136">
        <v>0.1</v>
      </c>
      <c r="CX16" s="161">
        <v>1</v>
      </c>
      <c r="CY16" s="135">
        <f t="shared" si="24"/>
        <v>1</v>
      </c>
      <c r="CZ16" s="153">
        <v>0.15</v>
      </c>
      <c r="DA16" s="161">
        <v>82</v>
      </c>
      <c r="DB16" s="158">
        <v>79</v>
      </c>
      <c r="DC16" s="158">
        <f t="shared" si="25"/>
        <v>96.341463414634148</v>
      </c>
      <c r="DD16" s="135">
        <f t="shared" si="26"/>
        <v>11</v>
      </c>
      <c r="DE16" s="153">
        <v>0.15</v>
      </c>
      <c r="DF16" s="161">
        <v>107</v>
      </c>
      <c r="DG16" s="158">
        <v>52</v>
      </c>
      <c r="DH16" s="134">
        <f t="shared" si="70"/>
        <v>48.598130841121495</v>
      </c>
      <c r="DI16" s="134">
        <f t="shared" si="71"/>
        <v>51.401869158878505</v>
      </c>
      <c r="DJ16" s="135">
        <f t="shared" si="72"/>
        <v>11</v>
      </c>
      <c r="DK16" s="153">
        <v>0.05</v>
      </c>
      <c r="DL16" s="175">
        <v>0</v>
      </c>
      <c r="DM16" s="134">
        <v>0</v>
      </c>
      <c r="DN16" s="134">
        <v>0</v>
      </c>
      <c r="DO16" s="158">
        <f t="shared" si="73"/>
        <v>7</v>
      </c>
      <c r="DP16" s="153">
        <v>0.05</v>
      </c>
      <c r="DQ16" s="168">
        <f t="shared" si="74"/>
        <v>0.5</v>
      </c>
      <c r="DR16" s="150">
        <f t="shared" si="75"/>
        <v>2.8000000000000003</v>
      </c>
      <c r="DS16" s="163">
        <f t="shared" si="76"/>
        <v>10</v>
      </c>
      <c r="DT16" s="170">
        <v>43</v>
      </c>
      <c r="DU16" s="171">
        <v>43</v>
      </c>
      <c r="DV16" s="172">
        <f t="shared" si="27"/>
        <v>100</v>
      </c>
      <c r="DW16" s="173">
        <f t="shared" si="94"/>
        <v>1</v>
      </c>
      <c r="DX16" s="131">
        <v>0.2</v>
      </c>
      <c r="DY16" s="162">
        <v>64.2</v>
      </c>
      <c r="DZ16" s="135">
        <f t="shared" si="28"/>
        <v>3</v>
      </c>
      <c r="EA16" s="153">
        <v>0.2</v>
      </c>
      <c r="EB16" s="161">
        <v>26</v>
      </c>
      <c r="EC16" s="134">
        <f t="shared" si="29"/>
        <v>100</v>
      </c>
      <c r="ED16" s="135">
        <f t="shared" si="30"/>
        <v>1</v>
      </c>
      <c r="EE16" s="136">
        <v>0.1</v>
      </c>
      <c r="EF16" s="161">
        <v>1</v>
      </c>
      <c r="EG16" s="135">
        <f t="shared" si="31"/>
        <v>1</v>
      </c>
      <c r="EH16" s="153">
        <v>0.05</v>
      </c>
      <c r="EI16" s="161">
        <v>1</v>
      </c>
      <c r="EJ16" s="135">
        <f t="shared" si="32"/>
        <v>1</v>
      </c>
      <c r="EK16" s="153">
        <v>0.05</v>
      </c>
      <c r="EL16" s="161">
        <v>0</v>
      </c>
      <c r="EM16" s="135">
        <f t="shared" si="33"/>
        <v>2</v>
      </c>
      <c r="EN16" s="174">
        <v>0.1</v>
      </c>
      <c r="EO16" s="161">
        <v>1</v>
      </c>
      <c r="EP16" s="158">
        <v>16</v>
      </c>
      <c r="EQ16" s="134">
        <f t="shared" si="34"/>
        <v>6.25</v>
      </c>
      <c r="ER16" s="135">
        <f t="shared" si="35"/>
        <v>2</v>
      </c>
      <c r="ES16" s="153">
        <v>0.05</v>
      </c>
      <c r="ET16" s="134">
        <v>42.496679946879148</v>
      </c>
      <c r="EU16" s="134">
        <v>44.964028776978417</v>
      </c>
      <c r="EV16" s="134">
        <f t="shared" si="77"/>
        <v>105.80598021582735</v>
      </c>
      <c r="EW16" s="135">
        <f t="shared" si="36"/>
        <v>5</v>
      </c>
      <c r="EX16" s="153">
        <v>0.15</v>
      </c>
      <c r="EY16" s="161">
        <v>0</v>
      </c>
      <c r="EZ16" s="134">
        <f t="shared" si="78"/>
        <v>0</v>
      </c>
      <c r="FA16" s="135">
        <f t="shared" si="37"/>
        <v>8</v>
      </c>
      <c r="FB16" s="153">
        <v>0.05</v>
      </c>
      <c r="FC16" s="161">
        <v>0</v>
      </c>
      <c r="FD16" s="134">
        <f t="shared" si="79"/>
        <v>0</v>
      </c>
      <c r="FE16" s="135">
        <f t="shared" si="38"/>
        <v>8</v>
      </c>
      <c r="FF16" s="153">
        <v>0.05</v>
      </c>
      <c r="FG16" s="175">
        <v>0</v>
      </c>
      <c r="FH16" s="135">
        <f t="shared" si="80"/>
        <v>17</v>
      </c>
      <c r="FI16" s="174">
        <v>0.1</v>
      </c>
      <c r="FJ16" s="175">
        <v>0</v>
      </c>
      <c r="FK16" s="135">
        <f t="shared" si="81"/>
        <v>17</v>
      </c>
      <c r="FL16" s="153">
        <v>0.1</v>
      </c>
      <c r="FM16" s="175">
        <v>0.3</v>
      </c>
      <c r="FN16" s="158">
        <f t="shared" si="82"/>
        <v>4</v>
      </c>
      <c r="FO16" s="153">
        <v>0.1</v>
      </c>
      <c r="FP16" s="175">
        <v>1</v>
      </c>
      <c r="FQ16" s="135">
        <f t="shared" si="83"/>
        <v>1</v>
      </c>
      <c r="FR16" s="153">
        <v>0.1</v>
      </c>
      <c r="FS16" s="176">
        <f t="shared" si="39"/>
        <v>1.4000000000000006</v>
      </c>
      <c r="FT16" s="150">
        <f t="shared" si="84"/>
        <v>6.75</v>
      </c>
      <c r="FU16" s="130">
        <f t="shared" si="85"/>
        <v>5</v>
      </c>
      <c r="FV16" s="126">
        <v>10</v>
      </c>
      <c r="FW16" s="126">
        <v>10</v>
      </c>
      <c r="FX16" s="177">
        <f t="shared" si="40"/>
        <v>100</v>
      </c>
      <c r="FY16" s="130">
        <f t="shared" si="41"/>
        <v>1</v>
      </c>
      <c r="FZ16" s="178">
        <v>0.1</v>
      </c>
      <c r="GA16" s="179">
        <f>22/AU16*1000</f>
        <v>9.7388224878264715</v>
      </c>
      <c r="GB16" s="129">
        <f>22/AV16*1000</f>
        <v>9.8920863309352516</v>
      </c>
      <c r="GC16" s="168">
        <f t="shared" si="86"/>
        <v>101.57374100719426</v>
      </c>
      <c r="GD16" s="135">
        <f t="shared" si="42"/>
        <v>17</v>
      </c>
      <c r="GE16" s="136">
        <v>0.1</v>
      </c>
      <c r="GF16" s="180">
        <v>13</v>
      </c>
      <c r="GG16" s="181">
        <v>13</v>
      </c>
      <c r="GH16" s="134">
        <f t="shared" si="43"/>
        <v>100</v>
      </c>
      <c r="GI16" s="135">
        <v>1</v>
      </c>
      <c r="GJ16" s="182">
        <v>0.1</v>
      </c>
      <c r="GK16" s="161">
        <v>6</v>
      </c>
      <c r="GL16" s="183">
        <f t="shared" si="87"/>
        <v>2.6978417266187051</v>
      </c>
      <c r="GM16" s="135">
        <f t="shared" si="88"/>
        <v>2</v>
      </c>
      <c r="GN16" s="136">
        <v>0.1</v>
      </c>
      <c r="GO16" s="161">
        <v>0</v>
      </c>
      <c r="GP16" s="134">
        <f t="shared" si="44"/>
        <v>0</v>
      </c>
      <c r="GQ16" s="135">
        <f t="shared" si="45"/>
        <v>1</v>
      </c>
      <c r="GR16" s="182">
        <v>0.1</v>
      </c>
      <c r="GS16" s="184">
        <f t="shared" si="46"/>
        <v>0.5</v>
      </c>
      <c r="GT16" s="150">
        <f t="shared" si="89"/>
        <v>2.2000000000000006</v>
      </c>
      <c r="GU16" s="163">
        <f t="shared" si="90"/>
        <v>7</v>
      </c>
      <c r="GV16" s="185">
        <f t="shared" si="47"/>
        <v>4.8166666666666673</v>
      </c>
      <c r="GW16" s="186">
        <f t="shared" si="91"/>
        <v>4</v>
      </c>
      <c r="GX16" s="186" t="s">
        <v>175</v>
      </c>
    </row>
    <row r="17" spans="1:206" s="9" customFormat="1" ht="15.75" x14ac:dyDescent="0.25">
      <c r="A17" s="126">
        <v>11</v>
      </c>
      <c r="B17" s="127" t="s">
        <v>176</v>
      </c>
      <c r="C17" s="128">
        <v>36886.884000000005</v>
      </c>
      <c r="D17" s="128">
        <v>43039.05</v>
      </c>
      <c r="E17" s="129">
        <f t="shared" si="48"/>
        <v>116.67846489825489</v>
      </c>
      <c r="F17" s="130">
        <f t="shared" si="49"/>
        <v>6</v>
      </c>
      <c r="G17" s="131">
        <v>0.12</v>
      </c>
      <c r="H17" s="132">
        <v>42925.1</v>
      </c>
      <c r="I17" s="133">
        <v>43039.05</v>
      </c>
      <c r="J17" s="134">
        <f t="shared" si="0"/>
        <v>100.26546239845686</v>
      </c>
      <c r="K17" s="134">
        <f>ABS(J17-K5)</f>
        <v>0.26546239845686159</v>
      </c>
      <c r="L17" s="135">
        <f t="shared" si="50"/>
        <v>3</v>
      </c>
      <c r="M17" s="136">
        <v>0.1</v>
      </c>
      <c r="N17" s="137">
        <v>6769.317</v>
      </c>
      <c r="O17" s="138">
        <f t="shared" si="51"/>
        <v>7094</v>
      </c>
      <c r="P17" s="139">
        <f t="shared" si="52"/>
        <v>0.95423132224414997</v>
      </c>
      <c r="Q17" s="135">
        <f t="shared" si="1"/>
        <v>14</v>
      </c>
      <c r="R17" s="136">
        <v>0.1</v>
      </c>
      <c r="S17" s="137">
        <v>71452.284019999992</v>
      </c>
      <c r="T17" s="128">
        <v>64166.931100000002</v>
      </c>
      <c r="U17" s="134">
        <f t="shared" si="2"/>
        <v>89.803890778409865</v>
      </c>
      <c r="V17" s="135">
        <f t="shared" si="3"/>
        <v>15</v>
      </c>
      <c r="W17" s="136">
        <v>0.1</v>
      </c>
      <c r="X17" s="137">
        <v>63852.078740000004</v>
      </c>
      <c r="Y17" s="140">
        <v>12548.178039999999</v>
      </c>
      <c r="Z17" s="134">
        <f t="shared" si="4"/>
        <v>19.651949141851851</v>
      </c>
      <c r="AA17" s="130">
        <f t="shared" si="5"/>
        <v>15</v>
      </c>
      <c r="AB17" s="136">
        <v>0.1</v>
      </c>
      <c r="AC17" s="141">
        <f t="shared" si="53"/>
        <v>64166.931100000002</v>
      </c>
      <c r="AD17" s="142">
        <v>1754.9782299999999</v>
      </c>
      <c r="AE17" s="129">
        <f t="shared" si="6"/>
        <v>2.7350197366693139</v>
      </c>
      <c r="AF17" s="130">
        <f t="shared" si="7"/>
        <v>11</v>
      </c>
      <c r="AG17" s="131">
        <v>0.12</v>
      </c>
      <c r="AH17" s="143">
        <v>0.79764999999999997</v>
      </c>
      <c r="AI17" s="142">
        <f t="shared" si="54"/>
        <v>71452.284019999992</v>
      </c>
      <c r="AJ17" s="144">
        <f t="shared" si="8"/>
        <v>1.1163394017981738E-3</v>
      </c>
      <c r="AK17" s="145">
        <f t="shared" si="9"/>
        <v>17</v>
      </c>
      <c r="AL17" s="146">
        <v>0.08</v>
      </c>
      <c r="AM17" s="147">
        <v>0</v>
      </c>
      <c r="AN17" s="142">
        <f t="shared" si="55"/>
        <v>43039.05</v>
      </c>
      <c r="AO17" s="148">
        <f t="shared" si="10"/>
        <v>0</v>
      </c>
      <c r="AP17" s="145">
        <f t="shared" si="11"/>
        <v>2</v>
      </c>
      <c r="AQ17" s="146">
        <v>0.08</v>
      </c>
      <c r="AR17" s="149">
        <f t="shared" si="56"/>
        <v>0.79999999999999993</v>
      </c>
      <c r="AS17" s="150">
        <f t="shared" si="57"/>
        <v>8.26</v>
      </c>
      <c r="AT17" s="151">
        <f t="shared" si="58"/>
        <v>15</v>
      </c>
      <c r="AU17" s="152">
        <v>6950</v>
      </c>
      <c r="AV17" s="138">
        <v>7094</v>
      </c>
      <c r="AW17" s="134">
        <f t="shared" si="12"/>
        <v>102.07194244604317</v>
      </c>
      <c r="AX17" s="135">
        <f t="shared" si="13"/>
        <v>4</v>
      </c>
      <c r="AY17" s="153">
        <v>0.12</v>
      </c>
      <c r="AZ17" s="154">
        <v>17</v>
      </c>
      <c r="BA17" s="129">
        <f t="shared" si="14"/>
        <v>0.54838709677419351</v>
      </c>
      <c r="BB17" s="130">
        <f t="shared" si="15"/>
        <v>13</v>
      </c>
      <c r="BC17" s="131">
        <v>0.12</v>
      </c>
      <c r="BD17" s="141">
        <v>7294</v>
      </c>
      <c r="BE17" s="126">
        <v>17.899999999999999</v>
      </c>
      <c r="BF17" s="142">
        <f t="shared" si="16"/>
        <v>33957.169459962766</v>
      </c>
      <c r="BG17" s="155">
        <f t="shared" si="59"/>
        <v>100.71230969529546</v>
      </c>
      <c r="BH17" s="156">
        <f>ABS(BG17-BH5)</f>
        <v>0.71230969529545973</v>
      </c>
      <c r="BI17" s="130">
        <f t="shared" si="60"/>
        <v>2</v>
      </c>
      <c r="BJ17" s="131">
        <v>0.15</v>
      </c>
      <c r="BK17" s="249">
        <v>10</v>
      </c>
      <c r="BL17" s="250">
        <v>5</v>
      </c>
      <c r="BM17" s="159">
        <v>500</v>
      </c>
      <c r="BN17" s="160">
        <f>RANK(BM17,$BM$7:$BM$23,1)</f>
        <v>15</v>
      </c>
      <c r="BO17" s="153">
        <v>0.11</v>
      </c>
      <c r="BP17" s="161">
        <v>4</v>
      </c>
      <c r="BQ17" s="158">
        <v>34</v>
      </c>
      <c r="BR17" s="134">
        <f t="shared" si="17"/>
        <v>11.76470588235294</v>
      </c>
      <c r="BS17" s="135">
        <f t="shared" si="18"/>
        <v>14</v>
      </c>
      <c r="BT17" s="153">
        <v>0.03</v>
      </c>
      <c r="BU17" s="161">
        <v>3</v>
      </c>
      <c r="BV17" s="158">
        <v>3</v>
      </c>
      <c r="BW17" s="134">
        <f t="shared" si="19"/>
        <v>100</v>
      </c>
      <c r="BX17" s="135">
        <f t="shared" si="20"/>
        <v>1</v>
      </c>
      <c r="BY17" s="153">
        <v>7.0000000000000007E-2</v>
      </c>
      <c r="BZ17" s="162">
        <f t="shared" si="63"/>
        <v>0.60000000000000009</v>
      </c>
      <c r="CA17" s="150">
        <f t="shared" si="64"/>
        <v>4.4800000000000004</v>
      </c>
      <c r="CB17" s="163">
        <f t="shared" si="65"/>
        <v>5</v>
      </c>
      <c r="CC17" s="164"/>
      <c r="CD17" s="165"/>
      <c r="CE17" s="166">
        <v>0</v>
      </c>
      <c r="CF17" s="135">
        <f t="shared" si="93"/>
        <v>1</v>
      </c>
      <c r="CG17" s="131">
        <v>0.02</v>
      </c>
      <c r="CH17" s="167">
        <v>0.35299999999999998</v>
      </c>
      <c r="CI17" s="130">
        <f t="shared" si="21"/>
        <v>8</v>
      </c>
      <c r="CJ17" s="131">
        <v>0.15</v>
      </c>
      <c r="CK17" s="134">
        <v>82.11</v>
      </c>
      <c r="CL17" s="135">
        <f t="shared" si="66"/>
        <v>9</v>
      </c>
      <c r="CM17" s="153">
        <v>0.08</v>
      </c>
      <c r="CN17" s="161">
        <v>25</v>
      </c>
      <c r="CO17" s="135">
        <f t="shared" si="67"/>
        <v>3</v>
      </c>
      <c r="CP17" s="153">
        <v>0.15</v>
      </c>
      <c r="CQ17" s="168">
        <f t="shared" si="22"/>
        <v>0.4</v>
      </c>
      <c r="CR17" s="150">
        <f t="shared" si="68"/>
        <v>2.3899999999999997</v>
      </c>
      <c r="CS17" s="151">
        <f t="shared" si="69"/>
        <v>2</v>
      </c>
      <c r="CT17" s="152">
        <v>3</v>
      </c>
      <c r="CU17" s="134">
        <v>1</v>
      </c>
      <c r="CV17" s="158">
        <f t="shared" si="23"/>
        <v>1</v>
      </c>
      <c r="CW17" s="136">
        <v>0.1</v>
      </c>
      <c r="CX17" s="161">
        <v>1</v>
      </c>
      <c r="CY17" s="135">
        <f t="shared" si="24"/>
        <v>1</v>
      </c>
      <c r="CZ17" s="153">
        <v>0.15</v>
      </c>
      <c r="DA17" s="161">
        <v>19</v>
      </c>
      <c r="DB17" s="158">
        <v>14</v>
      </c>
      <c r="DC17" s="158">
        <f t="shared" si="25"/>
        <v>73.68421052631578</v>
      </c>
      <c r="DD17" s="135">
        <f t="shared" si="26"/>
        <v>16</v>
      </c>
      <c r="DE17" s="153">
        <v>0.15</v>
      </c>
      <c r="DF17" s="161">
        <v>226</v>
      </c>
      <c r="DG17" s="158">
        <v>163</v>
      </c>
      <c r="DH17" s="134">
        <f t="shared" si="70"/>
        <v>72.123893805309734</v>
      </c>
      <c r="DI17" s="134">
        <f t="shared" si="71"/>
        <v>27.876106194690266</v>
      </c>
      <c r="DJ17" s="135">
        <f t="shared" si="72"/>
        <v>8</v>
      </c>
      <c r="DK17" s="153">
        <v>0.05</v>
      </c>
      <c r="DL17" s="175">
        <v>2</v>
      </c>
      <c r="DM17" s="134">
        <v>2</v>
      </c>
      <c r="DN17" s="134">
        <f t="shared" si="92"/>
        <v>100</v>
      </c>
      <c r="DO17" s="158">
        <f t="shared" si="73"/>
        <v>1</v>
      </c>
      <c r="DP17" s="153">
        <v>0.05</v>
      </c>
      <c r="DQ17" s="168">
        <f t="shared" si="74"/>
        <v>0.5</v>
      </c>
      <c r="DR17" s="150">
        <f t="shared" si="75"/>
        <v>3.0999999999999996</v>
      </c>
      <c r="DS17" s="163">
        <f t="shared" si="76"/>
        <v>11</v>
      </c>
      <c r="DT17" s="170">
        <v>53</v>
      </c>
      <c r="DU17" s="171">
        <v>58</v>
      </c>
      <c r="DV17" s="172">
        <f t="shared" si="27"/>
        <v>91.379310344827587</v>
      </c>
      <c r="DW17" s="173">
        <f t="shared" si="94"/>
        <v>13</v>
      </c>
      <c r="DX17" s="131">
        <v>0.2</v>
      </c>
      <c r="DY17" s="162">
        <v>31.4</v>
      </c>
      <c r="DZ17" s="135">
        <f t="shared" si="28"/>
        <v>13</v>
      </c>
      <c r="EA17" s="153">
        <v>0.2</v>
      </c>
      <c r="EB17" s="161">
        <v>26</v>
      </c>
      <c r="EC17" s="134">
        <f t="shared" si="29"/>
        <v>100</v>
      </c>
      <c r="ED17" s="135">
        <f t="shared" si="30"/>
        <v>1</v>
      </c>
      <c r="EE17" s="136">
        <v>0.1</v>
      </c>
      <c r="EF17" s="161">
        <v>1</v>
      </c>
      <c r="EG17" s="135">
        <f t="shared" si="31"/>
        <v>1</v>
      </c>
      <c r="EH17" s="153">
        <v>0.05</v>
      </c>
      <c r="EI17" s="161">
        <v>0</v>
      </c>
      <c r="EJ17" s="135">
        <f t="shared" si="32"/>
        <v>16</v>
      </c>
      <c r="EK17" s="153">
        <v>0.05</v>
      </c>
      <c r="EL17" s="161">
        <v>0</v>
      </c>
      <c r="EM17" s="135">
        <f t="shared" si="33"/>
        <v>2</v>
      </c>
      <c r="EN17" s="174">
        <v>0.1</v>
      </c>
      <c r="EO17" s="161">
        <v>4</v>
      </c>
      <c r="EP17" s="158">
        <v>17</v>
      </c>
      <c r="EQ17" s="134">
        <f t="shared" si="34"/>
        <v>23.52941176470588</v>
      </c>
      <c r="ER17" s="135">
        <f t="shared" si="35"/>
        <v>9</v>
      </c>
      <c r="ES17" s="153">
        <v>0.05</v>
      </c>
      <c r="ET17" s="134">
        <v>86.474820143884898</v>
      </c>
      <c r="EU17" s="134">
        <v>83.591767691006481</v>
      </c>
      <c r="EV17" s="134">
        <f t="shared" si="77"/>
        <v>96.666020873959241</v>
      </c>
      <c r="EW17" s="135">
        <f t="shared" si="36"/>
        <v>14</v>
      </c>
      <c r="EX17" s="153">
        <v>0.15</v>
      </c>
      <c r="EY17" s="161">
        <v>0</v>
      </c>
      <c r="EZ17" s="134">
        <f t="shared" si="78"/>
        <v>0</v>
      </c>
      <c r="FA17" s="135">
        <f t="shared" si="37"/>
        <v>8</v>
      </c>
      <c r="FB17" s="153">
        <v>0.05</v>
      </c>
      <c r="FC17" s="161">
        <v>0</v>
      </c>
      <c r="FD17" s="134">
        <f t="shared" si="79"/>
        <v>0</v>
      </c>
      <c r="FE17" s="135">
        <f t="shared" si="38"/>
        <v>8</v>
      </c>
      <c r="FF17" s="153">
        <v>0.05</v>
      </c>
      <c r="FG17" s="175">
        <v>0.96</v>
      </c>
      <c r="FH17" s="135">
        <f t="shared" si="80"/>
        <v>8</v>
      </c>
      <c r="FI17" s="174">
        <v>0.1</v>
      </c>
      <c r="FJ17" s="175">
        <v>0.85</v>
      </c>
      <c r="FK17" s="135">
        <f t="shared" si="81"/>
        <v>6</v>
      </c>
      <c r="FL17" s="153">
        <v>0.1</v>
      </c>
      <c r="FM17" s="175">
        <v>0.3</v>
      </c>
      <c r="FN17" s="158">
        <f t="shared" si="82"/>
        <v>4</v>
      </c>
      <c r="FO17" s="153">
        <v>0.1</v>
      </c>
      <c r="FP17" s="175">
        <v>1</v>
      </c>
      <c r="FQ17" s="135">
        <f t="shared" si="83"/>
        <v>1</v>
      </c>
      <c r="FR17" s="153">
        <v>0.1</v>
      </c>
      <c r="FS17" s="176">
        <f t="shared" si="39"/>
        <v>1.4000000000000006</v>
      </c>
      <c r="FT17" s="150">
        <f t="shared" si="84"/>
        <v>11.600000000000001</v>
      </c>
      <c r="FU17" s="130">
        <f t="shared" si="85"/>
        <v>14</v>
      </c>
      <c r="FV17" s="126">
        <v>50</v>
      </c>
      <c r="FW17" s="126">
        <v>50</v>
      </c>
      <c r="FX17" s="177">
        <f t="shared" si="40"/>
        <v>100</v>
      </c>
      <c r="FY17" s="130">
        <f t="shared" si="41"/>
        <v>1</v>
      </c>
      <c r="FZ17" s="178">
        <v>0.1</v>
      </c>
      <c r="GA17" s="179">
        <f>203/AU17*1000</f>
        <v>29.208633093525179</v>
      </c>
      <c r="GB17" s="129">
        <f>166/AV17*1000</f>
        <v>23.400056385678038</v>
      </c>
      <c r="GC17" s="168">
        <f t="shared" si="86"/>
        <v>80.113493537173568</v>
      </c>
      <c r="GD17" s="135">
        <f t="shared" si="42"/>
        <v>7</v>
      </c>
      <c r="GE17" s="136">
        <v>0.1</v>
      </c>
      <c r="GF17" s="180">
        <v>44</v>
      </c>
      <c r="GG17" s="181">
        <v>44</v>
      </c>
      <c r="GH17" s="134">
        <f t="shared" si="43"/>
        <v>100</v>
      </c>
      <c r="GI17" s="135">
        <v>1</v>
      </c>
      <c r="GJ17" s="182">
        <v>0.1</v>
      </c>
      <c r="GK17" s="161">
        <v>22</v>
      </c>
      <c r="GL17" s="183">
        <f t="shared" si="87"/>
        <v>3.1012122920778125</v>
      </c>
      <c r="GM17" s="135">
        <f t="shared" si="88"/>
        <v>5</v>
      </c>
      <c r="GN17" s="136">
        <v>0.1</v>
      </c>
      <c r="GO17" s="161">
        <v>1</v>
      </c>
      <c r="GP17" s="134">
        <f t="shared" si="44"/>
        <v>0.14096419509444602</v>
      </c>
      <c r="GQ17" s="135">
        <f t="shared" si="45"/>
        <v>11</v>
      </c>
      <c r="GR17" s="182">
        <v>0.1</v>
      </c>
      <c r="GS17" s="184">
        <f t="shared" si="46"/>
        <v>0.5</v>
      </c>
      <c r="GT17" s="150">
        <f t="shared" si="89"/>
        <v>2.5</v>
      </c>
      <c r="GU17" s="163">
        <f t="shared" si="90"/>
        <v>9</v>
      </c>
      <c r="GV17" s="185">
        <f t="shared" si="47"/>
        <v>7.5666666666666673</v>
      </c>
      <c r="GW17" s="186">
        <f t="shared" si="91"/>
        <v>13</v>
      </c>
      <c r="GX17" s="186" t="s">
        <v>175</v>
      </c>
    </row>
    <row r="18" spans="1:206" s="9" customFormat="1" ht="15.75" x14ac:dyDescent="0.25">
      <c r="A18" s="126">
        <v>12</v>
      </c>
      <c r="B18" s="127" t="s">
        <v>177</v>
      </c>
      <c r="C18" s="128">
        <v>29193.031999999996</v>
      </c>
      <c r="D18" s="128">
        <v>40570.660000000003</v>
      </c>
      <c r="E18" s="129">
        <f t="shared" si="48"/>
        <v>138.97377977046034</v>
      </c>
      <c r="F18" s="130">
        <f t="shared" si="49"/>
        <v>1</v>
      </c>
      <c r="G18" s="131">
        <v>0.12</v>
      </c>
      <c r="H18" s="132">
        <v>53682.54</v>
      </c>
      <c r="I18" s="133">
        <v>40570.660000000003</v>
      </c>
      <c r="J18" s="134">
        <f t="shared" si="0"/>
        <v>75.575149760052341</v>
      </c>
      <c r="K18" s="134">
        <f>ABS(J18-K5)</f>
        <v>24.424850239947659</v>
      </c>
      <c r="L18" s="135">
        <f t="shared" si="50"/>
        <v>15</v>
      </c>
      <c r="M18" s="136">
        <v>0.1</v>
      </c>
      <c r="N18" s="137">
        <v>67298.024999999994</v>
      </c>
      <c r="O18" s="138">
        <f t="shared" si="51"/>
        <v>10008</v>
      </c>
      <c r="P18" s="139">
        <f t="shared" si="52"/>
        <v>6.7244229616306948</v>
      </c>
      <c r="Q18" s="135">
        <f t="shared" si="1"/>
        <v>2</v>
      </c>
      <c r="R18" s="136">
        <v>0.1</v>
      </c>
      <c r="S18" s="137">
        <v>80987.93054999999</v>
      </c>
      <c r="T18" s="128">
        <v>71722.951440000004</v>
      </c>
      <c r="U18" s="134">
        <f t="shared" si="2"/>
        <v>88.560049569015703</v>
      </c>
      <c r="V18" s="135">
        <f t="shared" si="3"/>
        <v>16</v>
      </c>
      <c r="W18" s="136">
        <v>0.1</v>
      </c>
      <c r="X18" s="137">
        <v>61557.590729999996</v>
      </c>
      <c r="Y18" s="140">
        <v>7322.7831399999995</v>
      </c>
      <c r="Z18" s="134">
        <f t="shared" si="4"/>
        <v>11.895824792946701</v>
      </c>
      <c r="AA18" s="130">
        <f t="shared" si="5"/>
        <v>7</v>
      </c>
      <c r="AB18" s="136">
        <v>0.1</v>
      </c>
      <c r="AC18" s="141">
        <f t="shared" si="53"/>
        <v>71722.951440000004</v>
      </c>
      <c r="AD18" s="142">
        <v>0</v>
      </c>
      <c r="AE18" s="129">
        <f t="shared" si="6"/>
        <v>0</v>
      </c>
      <c r="AF18" s="130">
        <f t="shared" si="7"/>
        <v>15</v>
      </c>
      <c r="AG18" s="131">
        <v>0.12</v>
      </c>
      <c r="AH18" s="143">
        <v>0</v>
      </c>
      <c r="AI18" s="142">
        <f t="shared" si="54"/>
        <v>80987.93054999999</v>
      </c>
      <c r="AJ18" s="144">
        <f t="shared" si="8"/>
        <v>0</v>
      </c>
      <c r="AK18" s="145">
        <f t="shared" si="9"/>
        <v>1</v>
      </c>
      <c r="AL18" s="146">
        <v>0.08</v>
      </c>
      <c r="AM18" s="147">
        <v>5.8666941666666652</v>
      </c>
      <c r="AN18" s="142">
        <f t="shared" si="55"/>
        <v>40570.660000000003</v>
      </c>
      <c r="AO18" s="148">
        <f t="shared" si="10"/>
        <v>1.446043561200795E-2</v>
      </c>
      <c r="AP18" s="145">
        <f t="shared" si="11"/>
        <v>16</v>
      </c>
      <c r="AQ18" s="146">
        <v>0.08</v>
      </c>
      <c r="AR18" s="149">
        <f t="shared" si="56"/>
        <v>0.79999999999999993</v>
      </c>
      <c r="AS18" s="150">
        <f t="shared" si="57"/>
        <v>7.28</v>
      </c>
      <c r="AT18" s="151">
        <f t="shared" si="58"/>
        <v>11</v>
      </c>
      <c r="AU18" s="152">
        <v>10100</v>
      </c>
      <c r="AV18" s="138">
        <v>10008</v>
      </c>
      <c r="AW18" s="134">
        <f t="shared" si="12"/>
        <v>99.089108910891085</v>
      </c>
      <c r="AX18" s="135">
        <f t="shared" si="13"/>
        <v>13</v>
      </c>
      <c r="AY18" s="153">
        <v>0.12</v>
      </c>
      <c r="AZ18" s="154">
        <v>27</v>
      </c>
      <c r="BA18" s="129">
        <f t="shared" si="14"/>
        <v>0.87096774193548387</v>
      </c>
      <c r="BB18" s="130">
        <f t="shared" si="15"/>
        <v>4</v>
      </c>
      <c r="BC18" s="131">
        <v>0.12</v>
      </c>
      <c r="BD18" s="141">
        <v>7294.2</v>
      </c>
      <c r="BE18" s="126">
        <v>17.3</v>
      </c>
      <c r="BF18" s="142">
        <f t="shared" si="16"/>
        <v>35135.838150289012</v>
      </c>
      <c r="BG18" s="155">
        <f t="shared" si="59"/>
        <v>104.20807945632473</v>
      </c>
      <c r="BH18" s="156">
        <f>ABS(BG18-BH5)</f>
        <v>4.2080794563247252</v>
      </c>
      <c r="BI18" s="130">
        <f t="shared" si="60"/>
        <v>7</v>
      </c>
      <c r="BJ18" s="131">
        <v>0.15</v>
      </c>
      <c r="BK18" s="157">
        <v>18</v>
      </c>
      <c r="BL18" s="158">
        <v>25</v>
      </c>
      <c r="BM18" s="159">
        <f t="shared" si="61"/>
        <v>72</v>
      </c>
      <c r="BN18" s="160">
        <f t="shared" si="62"/>
        <v>2</v>
      </c>
      <c r="BO18" s="153">
        <v>0.11</v>
      </c>
      <c r="BP18" s="161">
        <v>33</v>
      </c>
      <c r="BQ18" s="158">
        <v>77</v>
      </c>
      <c r="BR18" s="134">
        <f t="shared" si="17"/>
        <v>42.857142857142854</v>
      </c>
      <c r="BS18" s="135">
        <f t="shared" si="18"/>
        <v>2</v>
      </c>
      <c r="BT18" s="153">
        <v>0.03</v>
      </c>
      <c r="BU18" s="161">
        <v>9</v>
      </c>
      <c r="BV18" s="158">
        <v>9</v>
      </c>
      <c r="BW18" s="134">
        <f t="shared" si="19"/>
        <v>100</v>
      </c>
      <c r="BX18" s="135">
        <f t="shared" si="20"/>
        <v>1</v>
      </c>
      <c r="BY18" s="153">
        <v>7.0000000000000007E-2</v>
      </c>
      <c r="BZ18" s="162">
        <f t="shared" si="63"/>
        <v>0.60000000000000009</v>
      </c>
      <c r="CA18" s="150">
        <f t="shared" si="64"/>
        <v>3.44</v>
      </c>
      <c r="CB18" s="163">
        <f t="shared" si="65"/>
        <v>2</v>
      </c>
      <c r="CC18" s="164"/>
      <c r="CD18" s="165"/>
      <c r="CE18" s="166">
        <v>0</v>
      </c>
      <c r="CF18" s="135">
        <f t="shared" si="93"/>
        <v>1</v>
      </c>
      <c r="CG18" s="131">
        <v>0.02</v>
      </c>
      <c r="CH18" s="167">
        <v>0.50700000000000001</v>
      </c>
      <c r="CI18" s="130">
        <f t="shared" si="21"/>
        <v>11</v>
      </c>
      <c r="CJ18" s="131">
        <v>0.15</v>
      </c>
      <c r="CK18" s="134">
        <v>67.989999999999995</v>
      </c>
      <c r="CL18" s="135">
        <f t="shared" si="66"/>
        <v>13</v>
      </c>
      <c r="CM18" s="153">
        <v>0.08</v>
      </c>
      <c r="CN18" s="161">
        <v>29</v>
      </c>
      <c r="CO18" s="135">
        <f t="shared" si="67"/>
        <v>2</v>
      </c>
      <c r="CP18" s="153">
        <v>0.15</v>
      </c>
      <c r="CQ18" s="168">
        <f t="shared" si="22"/>
        <v>0.4</v>
      </c>
      <c r="CR18" s="150">
        <f t="shared" si="68"/>
        <v>3.01</v>
      </c>
      <c r="CS18" s="151">
        <f t="shared" si="69"/>
        <v>5</v>
      </c>
      <c r="CT18" s="152">
        <v>3</v>
      </c>
      <c r="CU18" s="134">
        <v>1</v>
      </c>
      <c r="CV18" s="158">
        <f t="shared" si="23"/>
        <v>1</v>
      </c>
      <c r="CW18" s="136">
        <v>0.1</v>
      </c>
      <c r="CX18" s="161">
        <v>1</v>
      </c>
      <c r="CY18" s="135">
        <f t="shared" si="24"/>
        <v>1</v>
      </c>
      <c r="CZ18" s="153">
        <v>0.15</v>
      </c>
      <c r="DA18" s="161">
        <v>4</v>
      </c>
      <c r="DB18" s="158">
        <v>4</v>
      </c>
      <c r="DC18" s="158">
        <f t="shared" si="25"/>
        <v>100</v>
      </c>
      <c r="DD18" s="135">
        <f t="shared" si="26"/>
        <v>1</v>
      </c>
      <c r="DE18" s="153">
        <v>0.15</v>
      </c>
      <c r="DF18" s="161">
        <v>551</v>
      </c>
      <c r="DG18" s="158">
        <v>91</v>
      </c>
      <c r="DH18" s="134">
        <f t="shared" si="70"/>
        <v>16.515426497277677</v>
      </c>
      <c r="DI18" s="134">
        <f t="shared" si="71"/>
        <v>83.484573502722327</v>
      </c>
      <c r="DJ18" s="135">
        <f t="shared" si="72"/>
        <v>14</v>
      </c>
      <c r="DK18" s="153">
        <v>0.05</v>
      </c>
      <c r="DL18" s="175">
        <v>0</v>
      </c>
      <c r="DM18" s="134">
        <v>0</v>
      </c>
      <c r="DN18" s="134">
        <v>0</v>
      </c>
      <c r="DO18" s="158">
        <f t="shared" si="73"/>
        <v>7</v>
      </c>
      <c r="DP18" s="153">
        <v>0.05</v>
      </c>
      <c r="DQ18" s="168">
        <f t="shared" si="74"/>
        <v>0.5</v>
      </c>
      <c r="DR18" s="150">
        <f t="shared" si="75"/>
        <v>1.4500000000000002</v>
      </c>
      <c r="DS18" s="163">
        <f t="shared" si="76"/>
        <v>5</v>
      </c>
      <c r="DT18" s="170">
        <v>58</v>
      </c>
      <c r="DU18" s="171">
        <v>59</v>
      </c>
      <c r="DV18" s="172">
        <f t="shared" si="27"/>
        <v>98.305084745762713</v>
      </c>
      <c r="DW18" s="173">
        <f t="shared" si="94"/>
        <v>9</v>
      </c>
      <c r="DX18" s="131">
        <v>0.2</v>
      </c>
      <c r="DY18" s="251">
        <v>32.6</v>
      </c>
      <c r="DZ18" s="135">
        <f t="shared" si="28"/>
        <v>11</v>
      </c>
      <c r="EA18" s="153">
        <v>0.2</v>
      </c>
      <c r="EB18" s="161">
        <v>26</v>
      </c>
      <c r="EC18" s="134">
        <f t="shared" si="29"/>
        <v>100</v>
      </c>
      <c r="ED18" s="135">
        <f t="shared" si="30"/>
        <v>1</v>
      </c>
      <c r="EE18" s="136">
        <v>0.1</v>
      </c>
      <c r="EF18" s="161">
        <v>1</v>
      </c>
      <c r="EG18" s="135">
        <f t="shared" si="31"/>
        <v>1</v>
      </c>
      <c r="EH18" s="153">
        <v>0.05</v>
      </c>
      <c r="EI18" s="161">
        <v>1</v>
      </c>
      <c r="EJ18" s="135">
        <f t="shared" si="32"/>
        <v>1</v>
      </c>
      <c r="EK18" s="153">
        <v>0.05</v>
      </c>
      <c r="EL18" s="161">
        <v>0</v>
      </c>
      <c r="EM18" s="135">
        <f t="shared" si="33"/>
        <v>2</v>
      </c>
      <c r="EN18" s="174">
        <v>0.1</v>
      </c>
      <c r="EO18" s="161">
        <v>5</v>
      </c>
      <c r="EP18" s="158">
        <v>17</v>
      </c>
      <c r="EQ18" s="134">
        <f t="shared" si="34"/>
        <v>29.411764705882355</v>
      </c>
      <c r="ER18" s="135">
        <f t="shared" si="35"/>
        <v>12</v>
      </c>
      <c r="ES18" s="153">
        <v>0.05</v>
      </c>
      <c r="ET18" s="134">
        <v>33.861386138613867</v>
      </c>
      <c r="EU18" s="134">
        <v>31.574740207833734</v>
      </c>
      <c r="EV18" s="134">
        <f t="shared" si="77"/>
        <v>93.247039795064524</v>
      </c>
      <c r="EW18" s="135">
        <f t="shared" si="36"/>
        <v>17</v>
      </c>
      <c r="EX18" s="153">
        <v>0.15</v>
      </c>
      <c r="EY18" s="161">
        <v>7</v>
      </c>
      <c r="EZ18" s="134">
        <f t="shared" si="78"/>
        <v>0.69944044764188651</v>
      </c>
      <c r="FA18" s="135">
        <f t="shared" si="37"/>
        <v>4</v>
      </c>
      <c r="FB18" s="153">
        <v>0.05</v>
      </c>
      <c r="FC18" s="161">
        <v>6</v>
      </c>
      <c r="FD18" s="134">
        <f t="shared" si="79"/>
        <v>0.5995203836930455</v>
      </c>
      <c r="FE18" s="135">
        <f t="shared" si="38"/>
        <v>5</v>
      </c>
      <c r="FF18" s="153">
        <v>0.05</v>
      </c>
      <c r="FG18" s="175">
        <v>0.85</v>
      </c>
      <c r="FH18" s="135">
        <f t="shared" si="80"/>
        <v>12</v>
      </c>
      <c r="FI18" s="174">
        <v>0.1</v>
      </c>
      <c r="FJ18" s="175">
        <v>0.89</v>
      </c>
      <c r="FK18" s="135">
        <f t="shared" si="81"/>
        <v>4</v>
      </c>
      <c r="FL18" s="153">
        <v>0.1</v>
      </c>
      <c r="FM18" s="175">
        <v>0.3</v>
      </c>
      <c r="FN18" s="158">
        <f t="shared" si="82"/>
        <v>4</v>
      </c>
      <c r="FO18" s="153">
        <v>0.1</v>
      </c>
      <c r="FP18" s="175">
        <v>0.7</v>
      </c>
      <c r="FQ18" s="135">
        <f t="shared" si="83"/>
        <v>4</v>
      </c>
      <c r="FR18" s="153">
        <v>0.1</v>
      </c>
      <c r="FS18" s="176">
        <f t="shared" si="39"/>
        <v>1.4000000000000006</v>
      </c>
      <c r="FT18" s="150">
        <f t="shared" si="84"/>
        <v>10.4</v>
      </c>
      <c r="FU18" s="130">
        <f t="shared" si="85"/>
        <v>12</v>
      </c>
      <c r="FV18" s="126">
        <v>61</v>
      </c>
      <c r="FW18" s="126">
        <v>61</v>
      </c>
      <c r="FX18" s="177">
        <f t="shared" si="40"/>
        <v>100</v>
      </c>
      <c r="FY18" s="130">
        <f t="shared" si="41"/>
        <v>1</v>
      </c>
      <c r="FZ18" s="178">
        <v>0.1</v>
      </c>
      <c r="GA18" s="179">
        <f>120/AU18*1000</f>
        <v>11.881188118811881</v>
      </c>
      <c r="GB18" s="129">
        <f>110/AV18*1000</f>
        <v>10.991207034372502</v>
      </c>
      <c r="GC18" s="168">
        <f t="shared" si="86"/>
        <v>92.50932587263523</v>
      </c>
      <c r="GD18" s="135">
        <f t="shared" si="42"/>
        <v>13</v>
      </c>
      <c r="GE18" s="136">
        <v>0.1</v>
      </c>
      <c r="GF18" s="180">
        <v>59</v>
      </c>
      <c r="GG18" s="181">
        <v>59</v>
      </c>
      <c r="GH18" s="134">
        <f t="shared" si="43"/>
        <v>100</v>
      </c>
      <c r="GI18" s="135">
        <v>1</v>
      </c>
      <c r="GJ18" s="182">
        <v>0.1</v>
      </c>
      <c r="GK18" s="161">
        <v>34</v>
      </c>
      <c r="GL18" s="183">
        <f t="shared" si="87"/>
        <v>3.3972821742605914</v>
      </c>
      <c r="GM18" s="135">
        <f t="shared" si="88"/>
        <v>6</v>
      </c>
      <c r="GN18" s="136">
        <v>0.1</v>
      </c>
      <c r="GO18" s="161">
        <v>1</v>
      </c>
      <c r="GP18" s="134">
        <f t="shared" si="44"/>
        <v>9.9920063948840926E-2</v>
      </c>
      <c r="GQ18" s="135">
        <f t="shared" si="45"/>
        <v>9</v>
      </c>
      <c r="GR18" s="182">
        <v>0.1</v>
      </c>
      <c r="GS18" s="184">
        <f t="shared" si="46"/>
        <v>0.5</v>
      </c>
      <c r="GT18" s="150">
        <f t="shared" si="89"/>
        <v>3.0000000000000004</v>
      </c>
      <c r="GU18" s="163">
        <f t="shared" si="90"/>
        <v>10</v>
      </c>
      <c r="GV18" s="185">
        <f t="shared" si="47"/>
        <v>6.0500000000000016</v>
      </c>
      <c r="GW18" s="186">
        <f t="shared" si="91"/>
        <v>7</v>
      </c>
      <c r="GX18" s="186" t="s">
        <v>175</v>
      </c>
    </row>
    <row r="19" spans="1:206" s="9" customFormat="1" ht="15.75" x14ac:dyDescent="0.25">
      <c r="A19" s="187">
        <v>13</v>
      </c>
      <c r="B19" s="188" t="s">
        <v>178</v>
      </c>
      <c r="C19" s="189">
        <v>27421.008000000002</v>
      </c>
      <c r="D19" s="189">
        <v>25797.06</v>
      </c>
      <c r="E19" s="190">
        <f t="shared" si="48"/>
        <v>94.077723182167489</v>
      </c>
      <c r="F19" s="191">
        <f t="shared" si="49"/>
        <v>15</v>
      </c>
      <c r="G19" s="192">
        <v>0.12</v>
      </c>
      <c r="H19" s="193">
        <v>25262.92</v>
      </c>
      <c r="I19" s="194">
        <v>25797.06</v>
      </c>
      <c r="J19" s="195">
        <f t="shared" si="0"/>
        <v>102.11432407655174</v>
      </c>
      <c r="K19" s="195">
        <f>ABS(J19-K5)</f>
        <v>2.114324076551739</v>
      </c>
      <c r="L19" s="196">
        <f t="shared" si="50"/>
        <v>6</v>
      </c>
      <c r="M19" s="197">
        <v>0.1</v>
      </c>
      <c r="N19" s="198">
        <v>12100.847</v>
      </c>
      <c r="O19" s="199">
        <f t="shared" si="51"/>
        <v>5812</v>
      </c>
      <c r="P19" s="200">
        <f t="shared" si="52"/>
        <v>2.0820452512044048</v>
      </c>
      <c r="Q19" s="196">
        <f t="shared" si="1"/>
        <v>10</v>
      </c>
      <c r="R19" s="197">
        <v>0.1</v>
      </c>
      <c r="S19" s="198">
        <v>33969.520450000004</v>
      </c>
      <c r="T19" s="189">
        <v>33883.270799999998</v>
      </c>
      <c r="U19" s="195">
        <f t="shared" si="2"/>
        <v>99.746096945563437</v>
      </c>
      <c r="V19" s="196">
        <f t="shared" si="3"/>
        <v>1</v>
      </c>
      <c r="W19" s="197">
        <v>0.1</v>
      </c>
      <c r="X19" s="198">
        <v>33085.983189999999</v>
      </c>
      <c r="Y19" s="201">
        <v>7737.8040000000001</v>
      </c>
      <c r="Z19" s="195">
        <f t="shared" si="4"/>
        <v>23.386955000142464</v>
      </c>
      <c r="AA19" s="191">
        <f t="shared" si="5"/>
        <v>16</v>
      </c>
      <c r="AB19" s="197">
        <v>0.1</v>
      </c>
      <c r="AC19" s="202">
        <f t="shared" si="53"/>
        <v>33883.270799999998</v>
      </c>
      <c r="AD19" s="203">
        <v>728.30475999999999</v>
      </c>
      <c r="AE19" s="190">
        <f t="shared" si="6"/>
        <v>2.14945234862037</v>
      </c>
      <c r="AF19" s="191">
        <f t="shared" si="7"/>
        <v>12</v>
      </c>
      <c r="AG19" s="192">
        <v>0.12</v>
      </c>
      <c r="AH19" s="204">
        <v>0</v>
      </c>
      <c r="AI19" s="203">
        <f t="shared" si="54"/>
        <v>33969.520450000004</v>
      </c>
      <c r="AJ19" s="205">
        <f t="shared" si="8"/>
        <v>0</v>
      </c>
      <c r="AK19" s="206">
        <f t="shared" si="9"/>
        <v>1</v>
      </c>
      <c r="AL19" s="207">
        <v>0.08</v>
      </c>
      <c r="AM19" s="208">
        <v>2.4393066666666674</v>
      </c>
      <c r="AN19" s="203">
        <f t="shared" si="55"/>
        <v>25797.06</v>
      </c>
      <c r="AO19" s="209">
        <f t="shared" si="10"/>
        <v>9.4557545187965875E-3</v>
      </c>
      <c r="AP19" s="206">
        <f t="shared" si="11"/>
        <v>13</v>
      </c>
      <c r="AQ19" s="207">
        <v>0.08</v>
      </c>
      <c r="AR19" s="210">
        <f t="shared" si="56"/>
        <v>0.79999999999999993</v>
      </c>
      <c r="AS19" s="211">
        <f t="shared" si="57"/>
        <v>7.6599999999999993</v>
      </c>
      <c r="AT19" s="212">
        <f t="shared" si="58"/>
        <v>13</v>
      </c>
      <c r="AU19" s="213">
        <v>5829</v>
      </c>
      <c r="AV19" s="199">
        <v>5812</v>
      </c>
      <c r="AW19" s="195">
        <f t="shared" si="12"/>
        <v>99.708354777834955</v>
      </c>
      <c r="AX19" s="196">
        <f t="shared" si="13"/>
        <v>8</v>
      </c>
      <c r="AY19" s="214">
        <v>0.12</v>
      </c>
      <c r="AZ19" s="215">
        <v>25</v>
      </c>
      <c r="BA19" s="190">
        <f t="shared" si="14"/>
        <v>0.80645161290322576</v>
      </c>
      <c r="BB19" s="191">
        <f t="shared" si="15"/>
        <v>8</v>
      </c>
      <c r="BC19" s="192">
        <v>0.12</v>
      </c>
      <c r="BD19" s="202">
        <v>4594.2</v>
      </c>
      <c r="BE19" s="187">
        <v>11.7</v>
      </c>
      <c r="BF19" s="203">
        <f t="shared" si="16"/>
        <v>32722.222222222223</v>
      </c>
      <c r="BG19" s="216">
        <f t="shared" si="59"/>
        <v>97.049625477421543</v>
      </c>
      <c r="BH19" s="217">
        <f>ABS(BG19-BH5)</f>
        <v>2.950374522578457</v>
      </c>
      <c r="BI19" s="191">
        <f t="shared" si="60"/>
        <v>5</v>
      </c>
      <c r="BJ19" s="192">
        <v>0.15</v>
      </c>
      <c r="BK19" s="218">
        <v>6</v>
      </c>
      <c r="BL19" s="219">
        <v>6</v>
      </c>
      <c r="BM19" s="220">
        <f t="shared" si="61"/>
        <v>100</v>
      </c>
      <c r="BN19" s="221">
        <f t="shared" si="62"/>
        <v>4</v>
      </c>
      <c r="BO19" s="214">
        <v>0.11</v>
      </c>
      <c r="BP19" s="222">
        <v>1</v>
      </c>
      <c r="BQ19" s="219">
        <v>34</v>
      </c>
      <c r="BR19" s="195">
        <f t="shared" si="17"/>
        <v>2.9411764705882351</v>
      </c>
      <c r="BS19" s="196">
        <f t="shared" si="18"/>
        <v>17</v>
      </c>
      <c r="BT19" s="214">
        <v>0.03</v>
      </c>
      <c r="BU19" s="222">
        <v>2</v>
      </c>
      <c r="BV19" s="219">
        <v>2</v>
      </c>
      <c r="BW19" s="195">
        <f t="shared" si="19"/>
        <v>100</v>
      </c>
      <c r="BX19" s="196">
        <f t="shared" si="20"/>
        <v>1</v>
      </c>
      <c r="BY19" s="214">
        <v>7.0000000000000007E-2</v>
      </c>
      <c r="BZ19" s="223">
        <f t="shared" si="63"/>
        <v>0.60000000000000009</v>
      </c>
      <c r="CA19" s="211">
        <f t="shared" si="64"/>
        <v>3.69</v>
      </c>
      <c r="CB19" s="224">
        <f t="shared" si="65"/>
        <v>3</v>
      </c>
      <c r="CC19" s="225"/>
      <c r="CD19" s="226"/>
      <c r="CE19" s="227">
        <v>1.2999999999999999E-3</v>
      </c>
      <c r="CF19" s="196">
        <f t="shared" si="93"/>
        <v>12</v>
      </c>
      <c r="CG19" s="192">
        <v>0.02</v>
      </c>
      <c r="CH19" s="228">
        <v>0</v>
      </c>
      <c r="CI19" s="191">
        <f t="shared" si="21"/>
        <v>1</v>
      </c>
      <c r="CJ19" s="192">
        <v>0.15</v>
      </c>
      <c r="CK19" s="195">
        <v>101.24</v>
      </c>
      <c r="CL19" s="196">
        <f t="shared" si="66"/>
        <v>1</v>
      </c>
      <c r="CM19" s="214">
        <v>0.08</v>
      </c>
      <c r="CN19" s="222">
        <v>31</v>
      </c>
      <c r="CO19" s="196">
        <f t="shared" si="67"/>
        <v>1</v>
      </c>
      <c r="CP19" s="214">
        <v>0.15</v>
      </c>
      <c r="CQ19" s="229">
        <f t="shared" si="22"/>
        <v>0.4</v>
      </c>
      <c r="CR19" s="211">
        <f t="shared" si="68"/>
        <v>0.62</v>
      </c>
      <c r="CS19" s="212">
        <f t="shared" si="69"/>
        <v>1</v>
      </c>
      <c r="CT19" s="213">
        <v>3</v>
      </c>
      <c r="CU19" s="195">
        <v>1</v>
      </c>
      <c r="CV19" s="219">
        <f t="shared" si="23"/>
        <v>1</v>
      </c>
      <c r="CW19" s="197">
        <v>0.1</v>
      </c>
      <c r="CX19" s="222">
        <v>1</v>
      </c>
      <c r="CY19" s="196">
        <f t="shared" si="24"/>
        <v>1</v>
      </c>
      <c r="CZ19" s="214">
        <v>0.15</v>
      </c>
      <c r="DA19" s="222">
        <v>42</v>
      </c>
      <c r="DB19" s="219">
        <v>30</v>
      </c>
      <c r="DC19" s="219">
        <f t="shared" si="25"/>
        <v>71.428571428571431</v>
      </c>
      <c r="DD19" s="196">
        <f t="shared" si="26"/>
        <v>17</v>
      </c>
      <c r="DE19" s="214">
        <v>0.15</v>
      </c>
      <c r="DF19" s="222">
        <v>338</v>
      </c>
      <c r="DG19" s="219">
        <v>125</v>
      </c>
      <c r="DH19" s="195">
        <f t="shared" si="70"/>
        <v>36.982248520710058</v>
      </c>
      <c r="DI19" s="195">
        <f t="shared" si="71"/>
        <v>63.017751479289942</v>
      </c>
      <c r="DJ19" s="196">
        <f t="shared" si="72"/>
        <v>12</v>
      </c>
      <c r="DK19" s="214">
        <v>0.05</v>
      </c>
      <c r="DL19" s="236">
        <v>0</v>
      </c>
      <c r="DM19" s="195">
        <v>0</v>
      </c>
      <c r="DN19" s="195">
        <v>0</v>
      </c>
      <c r="DO19" s="219">
        <f t="shared" si="73"/>
        <v>7</v>
      </c>
      <c r="DP19" s="214">
        <v>0.05</v>
      </c>
      <c r="DQ19" s="229">
        <f t="shared" si="74"/>
        <v>0.5</v>
      </c>
      <c r="DR19" s="211">
        <f t="shared" si="75"/>
        <v>3.75</v>
      </c>
      <c r="DS19" s="224">
        <f t="shared" si="76"/>
        <v>14</v>
      </c>
      <c r="DT19" s="231">
        <v>54</v>
      </c>
      <c r="DU19" s="232">
        <v>58</v>
      </c>
      <c r="DV19" s="233">
        <f t="shared" si="27"/>
        <v>93.103448275862064</v>
      </c>
      <c r="DW19" s="234">
        <f t="shared" si="94"/>
        <v>12</v>
      </c>
      <c r="DX19" s="192">
        <v>0.2</v>
      </c>
      <c r="DY19" s="223">
        <v>42.2</v>
      </c>
      <c r="DZ19" s="196">
        <f t="shared" si="28"/>
        <v>10</v>
      </c>
      <c r="EA19" s="214">
        <v>0.2</v>
      </c>
      <c r="EB19" s="222">
        <v>26</v>
      </c>
      <c r="EC19" s="195">
        <f t="shared" si="29"/>
        <v>100</v>
      </c>
      <c r="ED19" s="196">
        <f t="shared" si="30"/>
        <v>1</v>
      </c>
      <c r="EE19" s="197">
        <v>0.1</v>
      </c>
      <c r="EF19" s="222">
        <v>1</v>
      </c>
      <c r="EG19" s="196">
        <f t="shared" si="31"/>
        <v>1</v>
      </c>
      <c r="EH19" s="214">
        <v>0.05</v>
      </c>
      <c r="EI19" s="222">
        <v>0</v>
      </c>
      <c r="EJ19" s="196">
        <f t="shared" si="32"/>
        <v>16</v>
      </c>
      <c r="EK19" s="214">
        <v>0.05</v>
      </c>
      <c r="EL19" s="222">
        <v>0</v>
      </c>
      <c r="EM19" s="196">
        <f t="shared" si="33"/>
        <v>2</v>
      </c>
      <c r="EN19" s="235">
        <v>0.1</v>
      </c>
      <c r="EO19" s="222">
        <v>2</v>
      </c>
      <c r="EP19" s="219">
        <v>19</v>
      </c>
      <c r="EQ19" s="195">
        <f t="shared" si="34"/>
        <v>10.526315789473683</v>
      </c>
      <c r="ER19" s="196">
        <f t="shared" si="35"/>
        <v>5</v>
      </c>
      <c r="ES19" s="214">
        <v>0.05</v>
      </c>
      <c r="ET19" s="195">
        <v>35.683650711957455</v>
      </c>
      <c r="EU19" s="195">
        <v>33.551273227804543</v>
      </c>
      <c r="EV19" s="195">
        <f t="shared" si="77"/>
        <v>94.024217136958015</v>
      </c>
      <c r="EW19" s="196">
        <f t="shared" si="36"/>
        <v>16</v>
      </c>
      <c r="EX19" s="214">
        <v>0.15</v>
      </c>
      <c r="EY19" s="222">
        <v>0</v>
      </c>
      <c r="EZ19" s="195">
        <f t="shared" si="78"/>
        <v>0</v>
      </c>
      <c r="FA19" s="196">
        <f t="shared" si="37"/>
        <v>8</v>
      </c>
      <c r="FB19" s="214">
        <v>0.05</v>
      </c>
      <c r="FC19" s="222">
        <v>0</v>
      </c>
      <c r="FD19" s="195">
        <f t="shared" si="79"/>
        <v>0</v>
      </c>
      <c r="FE19" s="196">
        <f t="shared" si="38"/>
        <v>8</v>
      </c>
      <c r="FF19" s="214">
        <v>0.05</v>
      </c>
      <c r="FG19" s="236">
        <v>0.78</v>
      </c>
      <c r="FH19" s="196">
        <f t="shared" si="80"/>
        <v>13</v>
      </c>
      <c r="FI19" s="235">
        <v>0.1</v>
      </c>
      <c r="FJ19" s="236">
        <v>0.89</v>
      </c>
      <c r="FK19" s="196">
        <f t="shared" si="81"/>
        <v>4</v>
      </c>
      <c r="FL19" s="214">
        <v>0.1</v>
      </c>
      <c r="FM19" s="236">
        <v>0.3</v>
      </c>
      <c r="FN19" s="219">
        <f t="shared" si="82"/>
        <v>4</v>
      </c>
      <c r="FO19" s="214">
        <v>0.1</v>
      </c>
      <c r="FP19" s="236">
        <v>0.7</v>
      </c>
      <c r="FQ19" s="196">
        <f t="shared" si="83"/>
        <v>4</v>
      </c>
      <c r="FR19" s="214">
        <v>0.1</v>
      </c>
      <c r="FS19" s="237">
        <f t="shared" si="39"/>
        <v>1.4000000000000006</v>
      </c>
      <c r="FT19" s="211">
        <f t="shared" si="84"/>
        <v>11.500000000000002</v>
      </c>
      <c r="FU19" s="191">
        <f t="shared" si="85"/>
        <v>13</v>
      </c>
      <c r="FV19" s="187">
        <v>95</v>
      </c>
      <c r="FW19" s="187">
        <v>95</v>
      </c>
      <c r="FX19" s="238">
        <f t="shared" si="40"/>
        <v>100</v>
      </c>
      <c r="FY19" s="191">
        <f t="shared" si="41"/>
        <v>1</v>
      </c>
      <c r="FZ19" s="239">
        <v>0.1</v>
      </c>
      <c r="GA19" s="240">
        <f>69/AU19*1000</f>
        <v>11.837364899639732</v>
      </c>
      <c r="GB19" s="190">
        <f>69/AV19*1000</f>
        <v>11.871988988300069</v>
      </c>
      <c r="GC19" s="229">
        <f t="shared" si="86"/>
        <v>100.29249827942188</v>
      </c>
      <c r="GD19" s="196">
        <f t="shared" si="42"/>
        <v>16</v>
      </c>
      <c r="GE19" s="197">
        <v>0.1</v>
      </c>
      <c r="GF19" s="241">
        <v>32</v>
      </c>
      <c r="GG19" s="242">
        <v>32</v>
      </c>
      <c r="GH19" s="195">
        <f t="shared" si="43"/>
        <v>100</v>
      </c>
      <c r="GI19" s="196">
        <v>1</v>
      </c>
      <c r="GJ19" s="243">
        <v>0.1</v>
      </c>
      <c r="GK19" s="222">
        <v>28</v>
      </c>
      <c r="GL19" s="244">
        <f t="shared" si="87"/>
        <v>4.8176187198898832</v>
      </c>
      <c r="GM19" s="196">
        <f t="shared" si="88"/>
        <v>14</v>
      </c>
      <c r="GN19" s="197">
        <v>0.1</v>
      </c>
      <c r="GO19" s="222">
        <v>1</v>
      </c>
      <c r="GP19" s="195">
        <f t="shared" si="44"/>
        <v>0.17205781142463866</v>
      </c>
      <c r="GQ19" s="196">
        <f t="shared" si="45"/>
        <v>12</v>
      </c>
      <c r="GR19" s="243">
        <v>0.1</v>
      </c>
      <c r="GS19" s="245">
        <f t="shared" si="46"/>
        <v>0.5</v>
      </c>
      <c r="GT19" s="211">
        <f t="shared" si="89"/>
        <v>4.4000000000000004</v>
      </c>
      <c r="GU19" s="224">
        <f t="shared" si="90"/>
        <v>17</v>
      </c>
      <c r="GV19" s="246">
        <f t="shared" si="47"/>
        <v>7.7166666666666686</v>
      </c>
      <c r="GW19" s="247">
        <f t="shared" si="91"/>
        <v>14</v>
      </c>
      <c r="GX19" s="247">
        <v>3</v>
      </c>
    </row>
    <row r="20" spans="1:206" s="9" customFormat="1" ht="15.75" x14ac:dyDescent="0.25">
      <c r="A20" s="126">
        <v>14</v>
      </c>
      <c r="B20" s="127" t="s">
        <v>179</v>
      </c>
      <c r="C20" s="128">
        <v>26461.149999999998</v>
      </c>
      <c r="D20" s="128">
        <v>27223.22</v>
      </c>
      <c r="E20" s="129">
        <f t="shared" si="48"/>
        <v>102.87995797612727</v>
      </c>
      <c r="F20" s="130">
        <f t="shared" si="49"/>
        <v>11</v>
      </c>
      <c r="G20" s="131">
        <v>0.12</v>
      </c>
      <c r="H20" s="132">
        <v>30592.21</v>
      </c>
      <c r="I20" s="133">
        <v>27223.22</v>
      </c>
      <c r="J20" s="134">
        <f t="shared" si="0"/>
        <v>88.98742523014846</v>
      </c>
      <c r="K20" s="134">
        <f>ABS(J20-K5)</f>
        <v>11.01257476985154</v>
      </c>
      <c r="L20" s="135">
        <f t="shared" si="50"/>
        <v>13</v>
      </c>
      <c r="M20" s="136">
        <v>0.1</v>
      </c>
      <c r="N20" s="137">
        <v>20471.388000000003</v>
      </c>
      <c r="O20" s="138">
        <f t="shared" si="51"/>
        <v>7429</v>
      </c>
      <c r="P20" s="139">
        <f t="shared" si="52"/>
        <v>2.7556047920312294</v>
      </c>
      <c r="Q20" s="135">
        <f t="shared" si="1"/>
        <v>6</v>
      </c>
      <c r="R20" s="136">
        <v>0.1</v>
      </c>
      <c r="S20" s="137">
        <v>47994.230649999998</v>
      </c>
      <c r="T20" s="128">
        <v>46022.032229999997</v>
      </c>
      <c r="U20" s="134">
        <f t="shared" si="2"/>
        <v>95.890759382346715</v>
      </c>
      <c r="V20" s="135">
        <f t="shared" si="3"/>
        <v>10</v>
      </c>
      <c r="W20" s="136">
        <v>0.1</v>
      </c>
      <c r="X20" s="137">
        <v>45770.932229999999</v>
      </c>
      <c r="Y20" s="140">
        <v>3854.6167</v>
      </c>
      <c r="Z20" s="134">
        <f t="shared" si="4"/>
        <v>8.4215385446607502</v>
      </c>
      <c r="AA20" s="130">
        <f t="shared" si="5"/>
        <v>2</v>
      </c>
      <c r="AB20" s="136">
        <v>0.1</v>
      </c>
      <c r="AC20" s="141">
        <f t="shared" si="53"/>
        <v>46022.032229999997</v>
      </c>
      <c r="AD20" s="142">
        <v>924.1774200000001</v>
      </c>
      <c r="AE20" s="129">
        <f t="shared" si="6"/>
        <v>2.0081195358373685</v>
      </c>
      <c r="AF20" s="130">
        <f t="shared" si="7"/>
        <v>13</v>
      </c>
      <c r="AG20" s="131">
        <v>0.12</v>
      </c>
      <c r="AH20" s="143">
        <v>0</v>
      </c>
      <c r="AI20" s="142">
        <f t="shared" si="54"/>
        <v>47994.230649999998</v>
      </c>
      <c r="AJ20" s="144">
        <f t="shared" si="8"/>
        <v>0</v>
      </c>
      <c r="AK20" s="145">
        <f t="shared" si="9"/>
        <v>1</v>
      </c>
      <c r="AL20" s="146">
        <v>0.08</v>
      </c>
      <c r="AM20" s="147">
        <v>1.0064766666666665</v>
      </c>
      <c r="AN20" s="142">
        <f t="shared" si="55"/>
        <v>27223.22</v>
      </c>
      <c r="AO20" s="148">
        <f t="shared" si="10"/>
        <v>3.6971257135146626E-3</v>
      </c>
      <c r="AP20" s="145">
        <f t="shared" si="11"/>
        <v>11</v>
      </c>
      <c r="AQ20" s="146">
        <v>0.08</v>
      </c>
      <c r="AR20" s="149">
        <f t="shared" si="56"/>
        <v>0.79999999999999993</v>
      </c>
      <c r="AS20" s="150">
        <f t="shared" si="57"/>
        <v>6.94</v>
      </c>
      <c r="AT20" s="151">
        <f t="shared" si="58"/>
        <v>10</v>
      </c>
      <c r="AU20" s="152">
        <v>6855</v>
      </c>
      <c r="AV20" s="138">
        <v>7429</v>
      </c>
      <c r="AW20" s="134">
        <f t="shared" si="12"/>
        <v>108.37345003646972</v>
      </c>
      <c r="AX20" s="135">
        <f t="shared" si="13"/>
        <v>1</v>
      </c>
      <c r="AY20" s="153">
        <v>0.12</v>
      </c>
      <c r="AZ20" s="154">
        <v>23</v>
      </c>
      <c r="BA20" s="129">
        <f t="shared" si="14"/>
        <v>0.74193548387096775</v>
      </c>
      <c r="BB20" s="130">
        <f t="shared" si="15"/>
        <v>9</v>
      </c>
      <c r="BC20" s="131">
        <v>0.12</v>
      </c>
      <c r="BD20" s="141">
        <v>4673.8999999999996</v>
      </c>
      <c r="BE20" s="126">
        <v>11.4</v>
      </c>
      <c r="BF20" s="142">
        <f t="shared" si="16"/>
        <v>34165.935672514614</v>
      </c>
      <c r="BG20" s="155">
        <f t="shared" si="59"/>
        <v>101.33148166359585</v>
      </c>
      <c r="BH20" s="156">
        <f>ABS(BG20-BH5)</f>
        <v>1.3314816635958522</v>
      </c>
      <c r="BI20" s="130">
        <f t="shared" si="60"/>
        <v>3</v>
      </c>
      <c r="BJ20" s="131">
        <v>0.15</v>
      </c>
      <c r="BK20" s="157">
        <v>8</v>
      </c>
      <c r="BL20" s="158">
        <v>2</v>
      </c>
      <c r="BM20" s="159">
        <f t="shared" si="61"/>
        <v>400</v>
      </c>
      <c r="BN20" s="160">
        <f t="shared" si="62"/>
        <v>14</v>
      </c>
      <c r="BO20" s="153">
        <v>0.11</v>
      </c>
      <c r="BP20" s="161">
        <v>8</v>
      </c>
      <c r="BQ20" s="158">
        <v>56</v>
      </c>
      <c r="BR20" s="134">
        <f t="shared" si="17"/>
        <v>14.285714285714285</v>
      </c>
      <c r="BS20" s="135">
        <f t="shared" si="18"/>
        <v>11</v>
      </c>
      <c r="BT20" s="153">
        <v>0.03</v>
      </c>
      <c r="BU20" s="161">
        <v>1</v>
      </c>
      <c r="BV20" s="158">
        <v>2</v>
      </c>
      <c r="BW20" s="134">
        <f t="shared" si="19"/>
        <v>50</v>
      </c>
      <c r="BX20" s="135">
        <f t="shared" si="20"/>
        <v>17</v>
      </c>
      <c r="BY20" s="153">
        <v>7.0000000000000007E-2</v>
      </c>
      <c r="BZ20" s="162">
        <f t="shared" si="63"/>
        <v>0.60000000000000009</v>
      </c>
      <c r="CA20" s="150">
        <f t="shared" si="64"/>
        <v>4.7100000000000009</v>
      </c>
      <c r="CB20" s="163">
        <f t="shared" si="65"/>
        <v>6</v>
      </c>
      <c r="CC20" s="164"/>
      <c r="CD20" s="165"/>
      <c r="CE20" s="166">
        <v>0</v>
      </c>
      <c r="CF20" s="135">
        <f t="shared" si="93"/>
        <v>1</v>
      </c>
      <c r="CG20" s="131">
        <v>0.02</v>
      </c>
      <c r="CH20" s="167">
        <v>0.55800000000000005</v>
      </c>
      <c r="CI20" s="130">
        <f t="shared" si="21"/>
        <v>14</v>
      </c>
      <c r="CJ20" s="131">
        <v>0.15</v>
      </c>
      <c r="CK20" s="134">
        <v>83.52</v>
      </c>
      <c r="CL20" s="135">
        <f t="shared" si="66"/>
        <v>6</v>
      </c>
      <c r="CM20" s="153">
        <v>0.08</v>
      </c>
      <c r="CN20" s="161">
        <v>18</v>
      </c>
      <c r="CO20" s="135">
        <f t="shared" si="67"/>
        <v>6</v>
      </c>
      <c r="CP20" s="153">
        <v>0.15</v>
      </c>
      <c r="CQ20" s="168">
        <f t="shared" si="22"/>
        <v>0.4</v>
      </c>
      <c r="CR20" s="150">
        <f t="shared" si="68"/>
        <v>3.5</v>
      </c>
      <c r="CS20" s="151">
        <f t="shared" si="69"/>
        <v>10</v>
      </c>
      <c r="CT20" s="152">
        <v>3</v>
      </c>
      <c r="CU20" s="134">
        <v>1</v>
      </c>
      <c r="CV20" s="158">
        <f t="shared" si="23"/>
        <v>1</v>
      </c>
      <c r="CW20" s="136">
        <v>0.1</v>
      </c>
      <c r="CX20" s="161">
        <v>1</v>
      </c>
      <c r="CY20" s="135">
        <f t="shared" si="24"/>
        <v>1</v>
      </c>
      <c r="CZ20" s="153">
        <v>0.15</v>
      </c>
      <c r="DA20" s="161">
        <v>25</v>
      </c>
      <c r="DB20" s="158">
        <v>19</v>
      </c>
      <c r="DC20" s="158">
        <f t="shared" si="25"/>
        <v>76</v>
      </c>
      <c r="DD20" s="135">
        <f t="shared" si="26"/>
        <v>15</v>
      </c>
      <c r="DE20" s="153">
        <v>0.15</v>
      </c>
      <c r="DF20" s="161">
        <v>363</v>
      </c>
      <c r="DG20" s="158">
        <v>343</v>
      </c>
      <c r="DH20" s="134">
        <f t="shared" si="70"/>
        <v>94.490358126721759</v>
      </c>
      <c r="DI20" s="134">
        <f t="shared" si="71"/>
        <v>5.5096418732782411</v>
      </c>
      <c r="DJ20" s="135">
        <f t="shared" si="72"/>
        <v>4</v>
      </c>
      <c r="DK20" s="153">
        <v>0.05</v>
      </c>
      <c r="DL20" s="175">
        <v>2</v>
      </c>
      <c r="DM20" s="134">
        <v>2</v>
      </c>
      <c r="DN20" s="134">
        <f t="shared" si="92"/>
        <v>100</v>
      </c>
      <c r="DO20" s="158">
        <f t="shared" si="73"/>
        <v>1</v>
      </c>
      <c r="DP20" s="153">
        <v>0.05</v>
      </c>
      <c r="DQ20" s="168">
        <f t="shared" si="74"/>
        <v>0.5</v>
      </c>
      <c r="DR20" s="150">
        <f t="shared" si="75"/>
        <v>2.75</v>
      </c>
      <c r="DS20" s="163">
        <f t="shared" si="76"/>
        <v>9</v>
      </c>
      <c r="DT20" s="170">
        <v>59</v>
      </c>
      <c r="DU20" s="171">
        <v>59</v>
      </c>
      <c r="DV20" s="172">
        <f t="shared" si="27"/>
        <v>100</v>
      </c>
      <c r="DW20" s="173">
        <f t="shared" si="94"/>
        <v>1</v>
      </c>
      <c r="DX20" s="131">
        <v>0.2</v>
      </c>
      <c r="DY20" s="162">
        <v>49.7</v>
      </c>
      <c r="DZ20" s="135">
        <f t="shared" si="28"/>
        <v>9</v>
      </c>
      <c r="EA20" s="153">
        <v>0.2</v>
      </c>
      <c r="EB20" s="161">
        <v>26</v>
      </c>
      <c r="EC20" s="134">
        <f t="shared" si="29"/>
        <v>100</v>
      </c>
      <c r="ED20" s="135">
        <f t="shared" si="30"/>
        <v>1</v>
      </c>
      <c r="EE20" s="136">
        <v>0.1</v>
      </c>
      <c r="EF20" s="161">
        <v>1</v>
      </c>
      <c r="EG20" s="135">
        <f t="shared" si="31"/>
        <v>1</v>
      </c>
      <c r="EH20" s="153">
        <v>0.05</v>
      </c>
      <c r="EI20" s="161">
        <v>1</v>
      </c>
      <c r="EJ20" s="135">
        <f t="shared" si="32"/>
        <v>1</v>
      </c>
      <c r="EK20" s="153">
        <v>0.05</v>
      </c>
      <c r="EL20" s="161">
        <v>0</v>
      </c>
      <c r="EM20" s="135">
        <f t="shared" si="33"/>
        <v>2</v>
      </c>
      <c r="EN20" s="174">
        <v>0.1</v>
      </c>
      <c r="EO20" s="161">
        <v>2</v>
      </c>
      <c r="EP20" s="158">
        <v>11</v>
      </c>
      <c r="EQ20" s="134">
        <f t="shared" si="34"/>
        <v>18.181818181818183</v>
      </c>
      <c r="ER20" s="135">
        <f t="shared" si="35"/>
        <v>7</v>
      </c>
      <c r="ES20" s="153">
        <v>0.05</v>
      </c>
      <c r="ET20" s="134">
        <v>52.224653537563825</v>
      </c>
      <c r="EU20" s="134">
        <v>49.939426571543947</v>
      </c>
      <c r="EV20" s="134">
        <f t="shared" si="77"/>
        <v>95.624237192160265</v>
      </c>
      <c r="EW20" s="135">
        <f t="shared" si="36"/>
        <v>15</v>
      </c>
      <c r="EX20" s="153">
        <v>0.15</v>
      </c>
      <c r="EY20" s="161">
        <v>2</v>
      </c>
      <c r="EZ20" s="134">
        <f t="shared" si="78"/>
        <v>0.26921523758244714</v>
      </c>
      <c r="FA20" s="135">
        <f t="shared" si="37"/>
        <v>7</v>
      </c>
      <c r="FB20" s="153">
        <v>0.05</v>
      </c>
      <c r="FC20" s="161">
        <v>2</v>
      </c>
      <c r="FD20" s="134">
        <f t="shared" si="79"/>
        <v>0.26921523758244714</v>
      </c>
      <c r="FE20" s="135">
        <f t="shared" si="38"/>
        <v>7</v>
      </c>
      <c r="FF20" s="153">
        <v>0.05</v>
      </c>
      <c r="FG20" s="175">
        <v>0.87</v>
      </c>
      <c r="FH20" s="135">
        <f t="shared" si="80"/>
        <v>11</v>
      </c>
      <c r="FI20" s="174">
        <v>0.1</v>
      </c>
      <c r="FJ20" s="175">
        <v>0.77</v>
      </c>
      <c r="FK20" s="135">
        <f t="shared" si="81"/>
        <v>10</v>
      </c>
      <c r="FL20" s="153">
        <v>0.1</v>
      </c>
      <c r="FM20" s="175">
        <v>0.3</v>
      </c>
      <c r="FN20" s="158">
        <f t="shared" si="82"/>
        <v>4</v>
      </c>
      <c r="FO20" s="153">
        <v>0.1</v>
      </c>
      <c r="FP20" s="175">
        <v>0.7</v>
      </c>
      <c r="FQ20" s="135">
        <f t="shared" si="83"/>
        <v>4</v>
      </c>
      <c r="FR20" s="153">
        <v>0.1</v>
      </c>
      <c r="FS20" s="176">
        <f t="shared" si="39"/>
        <v>1.4000000000000006</v>
      </c>
      <c r="FT20" s="150">
        <f t="shared" si="84"/>
        <v>8.6</v>
      </c>
      <c r="FU20" s="130">
        <f t="shared" si="85"/>
        <v>8</v>
      </c>
      <c r="FV20" s="126">
        <v>51</v>
      </c>
      <c r="FW20" s="126">
        <v>51</v>
      </c>
      <c r="FX20" s="177">
        <f t="shared" si="40"/>
        <v>100</v>
      </c>
      <c r="FY20" s="130">
        <f t="shared" si="41"/>
        <v>1</v>
      </c>
      <c r="FZ20" s="178">
        <v>0.1</v>
      </c>
      <c r="GA20" s="179">
        <f>152/AU20*1000</f>
        <v>22.173595915390226</v>
      </c>
      <c r="GB20" s="129">
        <f>138/AV20*1000</f>
        <v>18.575851393188852</v>
      </c>
      <c r="GC20" s="168">
        <f t="shared" si="86"/>
        <v>83.774645592308943</v>
      </c>
      <c r="GD20" s="135">
        <f t="shared" si="42"/>
        <v>9</v>
      </c>
      <c r="GE20" s="136">
        <v>0.1</v>
      </c>
      <c r="GF20" s="180">
        <v>45</v>
      </c>
      <c r="GG20" s="181">
        <v>45</v>
      </c>
      <c r="GH20" s="134">
        <f t="shared" si="43"/>
        <v>100</v>
      </c>
      <c r="GI20" s="135">
        <v>1</v>
      </c>
      <c r="GJ20" s="182">
        <v>0.1</v>
      </c>
      <c r="GK20" s="161">
        <v>26</v>
      </c>
      <c r="GL20" s="183">
        <f t="shared" si="87"/>
        <v>3.4997980885718132</v>
      </c>
      <c r="GM20" s="135">
        <f t="shared" si="88"/>
        <v>8</v>
      </c>
      <c r="GN20" s="136">
        <v>0.1</v>
      </c>
      <c r="GO20" s="161">
        <v>3</v>
      </c>
      <c r="GP20" s="134">
        <f t="shared" si="44"/>
        <v>0.40382285637367071</v>
      </c>
      <c r="GQ20" s="135">
        <f t="shared" si="45"/>
        <v>16</v>
      </c>
      <c r="GR20" s="182">
        <v>0.1</v>
      </c>
      <c r="GS20" s="184">
        <f t="shared" si="46"/>
        <v>0.5</v>
      </c>
      <c r="GT20" s="150">
        <f t="shared" si="89"/>
        <v>3.5</v>
      </c>
      <c r="GU20" s="163">
        <f t="shared" si="90"/>
        <v>12</v>
      </c>
      <c r="GV20" s="185">
        <f t="shared" si="47"/>
        <v>6.2166666666666677</v>
      </c>
      <c r="GW20" s="186">
        <f t="shared" si="91"/>
        <v>9</v>
      </c>
      <c r="GX20" s="186" t="s">
        <v>175</v>
      </c>
    </row>
    <row r="21" spans="1:206" s="9" customFormat="1" ht="15.75" x14ac:dyDescent="0.25">
      <c r="A21" s="126">
        <v>15</v>
      </c>
      <c r="B21" s="127" t="s">
        <v>180</v>
      </c>
      <c r="C21" s="128">
        <v>7690.3079999999982</v>
      </c>
      <c r="D21" s="128">
        <v>9550.2099999999991</v>
      </c>
      <c r="E21" s="129">
        <f t="shared" si="48"/>
        <v>124.18501313601486</v>
      </c>
      <c r="F21" s="130">
        <f t="shared" si="49"/>
        <v>2</v>
      </c>
      <c r="G21" s="131">
        <v>0.12</v>
      </c>
      <c r="H21" s="132">
        <v>9547.3700000000008</v>
      </c>
      <c r="I21" s="133">
        <v>9550.2099999999991</v>
      </c>
      <c r="J21" s="134">
        <f t="shared" si="0"/>
        <v>100.02974641183906</v>
      </c>
      <c r="K21" s="134">
        <f>ABS(J21-K5)</f>
        <v>2.9746411839056464E-2</v>
      </c>
      <c r="L21" s="135">
        <f>RANK(K21,$K$7:$K$23,1)</f>
        <v>1</v>
      </c>
      <c r="M21" s="136">
        <v>0.1</v>
      </c>
      <c r="N21" s="137">
        <v>1385.306</v>
      </c>
      <c r="O21" s="138">
        <f t="shared" si="51"/>
        <v>1355</v>
      </c>
      <c r="P21" s="139">
        <f t="shared" si="52"/>
        <v>1.0223660516605166</v>
      </c>
      <c r="Q21" s="135">
        <f t="shared" si="1"/>
        <v>12</v>
      </c>
      <c r="R21" s="136">
        <v>0.1</v>
      </c>
      <c r="S21" s="137">
        <v>15265.292949999999</v>
      </c>
      <c r="T21" s="128">
        <v>14872.724970000001</v>
      </c>
      <c r="U21" s="134">
        <f t="shared" si="2"/>
        <v>97.428362617829762</v>
      </c>
      <c r="V21" s="135">
        <f t="shared" si="3"/>
        <v>8</v>
      </c>
      <c r="W21" s="136">
        <v>0.1</v>
      </c>
      <c r="X21" s="137">
        <v>14773.52497</v>
      </c>
      <c r="Y21" s="140">
        <v>2655.6655000000001</v>
      </c>
      <c r="Z21" s="134">
        <f t="shared" si="4"/>
        <v>17.975841956423753</v>
      </c>
      <c r="AA21" s="130">
        <f t="shared" si="5"/>
        <v>13</v>
      </c>
      <c r="AB21" s="136">
        <v>0.1</v>
      </c>
      <c r="AC21" s="141">
        <f t="shared" si="53"/>
        <v>14872.724970000001</v>
      </c>
      <c r="AD21" s="142">
        <v>4170.0996400000004</v>
      </c>
      <c r="AE21" s="129">
        <f t="shared" si="6"/>
        <v>28.03857160279351</v>
      </c>
      <c r="AF21" s="130">
        <f t="shared" si="7"/>
        <v>2</v>
      </c>
      <c r="AG21" s="131">
        <v>0.12</v>
      </c>
      <c r="AH21" s="143">
        <v>0</v>
      </c>
      <c r="AI21" s="142">
        <f t="shared" si="54"/>
        <v>15265.292949999999</v>
      </c>
      <c r="AJ21" s="144">
        <f t="shared" si="8"/>
        <v>0</v>
      </c>
      <c r="AK21" s="145">
        <f t="shared" si="9"/>
        <v>1</v>
      </c>
      <c r="AL21" s="146">
        <v>0.08</v>
      </c>
      <c r="AM21" s="147">
        <v>0.10416666666666667</v>
      </c>
      <c r="AN21" s="142">
        <f t="shared" si="55"/>
        <v>9550.2099999999991</v>
      </c>
      <c r="AO21" s="148">
        <f t="shared" si="10"/>
        <v>1.0907264517394557E-3</v>
      </c>
      <c r="AP21" s="145">
        <f t="shared" si="11"/>
        <v>8</v>
      </c>
      <c r="AQ21" s="146">
        <v>0.08</v>
      </c>
      <c r="AR21" s="149">
        <f t="shared" si="56"/>
        <v>0.79999999999999993</v>
      </c>
      <c r="AS21" s="150">
        <f t="shared" si="57"/>
        <v>4.5999999999999996</v>
      </c>
      <c r="AT21" s="151">
        <f t="shared" si="58"/>
        <v>2</v>
      </c>
      <c r="AU21" s="152">
        <v>1354</v>
      </c>
      <c r="AV21" s="138">
        <v>1355</v>
      </c>
      <c r="AW21" s="134">
        <f t="shared" si="12"/>
        <v>100.07385524372229</v>
      </c>
      <c r="AX21" s="135">
        <f t="shared" si="13"/>
        <v>7</v>
      </c>
      <c r="AY21" s="153">
        <v>0.12</v>
      </c>
      <c r="AZ21" s="154">
        <v>11</v>
      </c>
      <c r="BA21" s="129">
        <f t="shared" si="14"/>
        <v>0.35483870967741937</v>
      </c>
      <c r="BB21" s="130">
        <f t="shared" si="15"/>
        <v>17</v>
      </c>
      <c r="BC21" s="131">
        <v>0.12</v>
      </c>
      <c r="BD21" s="141">
        <v>1948.3</v>
      </c>
      <c r="BE21" s="126">
        <v>4.5999999999999996</v>
      </c>
      <c r="BF21" s="142">
        <f t="shared" si="16"/>
        <v>35295.289855072464</v>
      </c>
      <c r="BG21" s="155">
        <f t="shared" si="59"/>
        <v>104.68099135472451</v>
      </c>
      <c r="BH21" s="156">
        <f>ABS(BG21-BH5)</f>
        <v>4.6809913547245117</v>
      </c>
      <c r="BI21" s="130">
        <f t="shared" si="60"/>
        <v>9</v>
      </c>
      <c r="BJ21" s="131">
        <v>0.15</v>
      </c>
      <c r="BK21" s="249">
        <v>1</v>
      </c>
      <c r="BL21" s="250">
        <v>1</v>
      </c>
      <c r="BM21" s="159">
        <f t="shared" si="61"/>
        <v>100</v>
      </c>
      <c r="BN21" s="160">
        <f t="shared" si="62"/>
        <v>4</v>
      </c>
      <c r="BO21" s="153">
        <v>0.11</v>
      </c>
      <c r="BP21" s="161">
        <v>1</v>
      </c>
      <c r="BQ21" s="158">
        <v>6</v>
      </c>
      <c r="BR21" s="134">
        <f t="shared" si="17"/>
        <v>16.666666666666664</v>
      </c>
      <c r="BS21" s="135">
        <f t="shared" si="18"/>
        <v>10</v>
      </c>
      <c r="BT21" s="153">
        <v>0.03</v>
      </c>
      <c r="BU21" s="161">
        <v>2</v>
      </c>
      <c r="BV21" s="158">
        <v>2</v>
      </c>
      <c r="BW21" s="134">
        <f t="shared" si="19"/>
        <v>100</v>
      </c>
      <c r="BX21" s="135">
        <f t="shared" si="20"/>
        <v>1</v>
      </c>
      <c r="BY21" s="153">
        <v>7.0000000000000007E-2</v>
      </c>
      <c r="BZ21" s="162">
        <f t="shared" si="63"/>
        <v>0.60000000000000009</v>
      </c>
      <c r="CA21" s="150">
        <f t="shared" si="64"/>
        <v>5.04</v>
      </c>
      <c r="CB21" s="163">
        <f t="shared" si="65"/>
        <v>9</v>
      </c>
      <c r="CC21" s="164"/>
      <c r="CD21" s="165"/>
      <c r="CE21" s="166">
        <v>0</v>
      </c>
      <c r="CF21" s="135">
        <f t="shared" si="93"/>
        <v>1</v>
      </c>
      <c r="CG21" s="131">
        <v>0.02</v>
      </c>
      <c r="CH21" s="167">
        <v>0.22700000000000001</v>
      </c>
      <c r="CI21" s="130">
        <f t="shared" si="21"/>
        <v>6</v>
      </c>
      <c r="CJ21" s="131">
        <v>0.15</v>
      </c>
      <c r="CK21" s="134">
        <v>82.49</v>
      </c>
      <c r="CL21" s="135">
        <f t="shared" si="66"/>
        <v>8</v>
      </c>
      <c r="CM21" s="153">
        <v>0.08</v>
      </c>
      <c r="CN21" s="161">
        <v>11</v>
      </c>
      <c r="CO21" s="135">
        <f t="shared" si="67"/>
        <v>10</v>
      </c>
      <c r="CP21" s="153">
        <v>0.15</v>
      </c>
      <c r="CQ21" s="168">
        <f t="shared" si="22"/>
        <v>0.4</v>
      </c>
      <c r="CR21" s="150">
        <f t="shared" si="68"/>
        <v>3.06</v>
      </c>
      <c r="CS21" s="151">
        <f t="shared" si="69"/>
        <v>6</v>
      </c>
      <c r="CT21" s="252">
        <v>2</v>
      </c>
      <c r="CU21" s="253">
        <v>0.6</v>
      </c>
      <c r="CV21" s="158">
        <f t="shared" si="23"/>
        <v>15</v>
      </c>
      <c r="CW21" s="136">
        <v>0.1</v>
      </c>
      <c r="CX21" s="161">
        <v>1</v>
      </c>
      <c r="CY21" s="135">
        <f t="shared" si="24"/>
        <v>1</v>
      </c>
      <c r="CZ21" s="153">
        <v>0.15</v>
      </c>
      <c r="DA21" s="161">
        <v>92</v>
      </c>
      <c r="DB21" s="158">
        <v>86</v>
      </c>
      <c r="DC21" s="158">
        <f t="shared" si="25"/>
        <v>93.478260869565219</v>
      </c>
      <c r="DD21" s="135">
        <f t="shared" si="26"/>
        <v>13</v>
      </c>
      <c r="DE21" s="153">
        <v>0.15</v>
      </c>
      <c r="DF21" s="161">
        <v>136</v>
      </c>
      <c r="DG21" s="158">
        <v>136</v>
      </c>
      <c r="DH21" s="134">
        <f t="shared" si="70"/>
        <v>100</v>
      </c>
      <c r="DI21" s="134">
        <f t="shared" si="71"/>
        <v>0</v>
      </c>
      <c r="DJ21" s="135">
        <f t="shared" si="72"/>
        <v>1</v>
      </c>
      <c r="DK21" s="153">
        <v>0.05</v>
      </c>
      <c r="DL21" s="175">
        <v>18</v>
      </c>
      <c r="DM21" s="134">
        <v>18</v>
      </c>
      <c r="DN21" s="134">
        <f t="shared" si="92"/>
        <v>100</v>
      </c>
      <c r="DO21" s="158">
        <f t="shared" si="73"/>
        <v>1</v>
      </c>
      <c r="DP21" s="153">
        <v>0.05</v>
      </c>
      <c r="DQ21" s="168">
        <f t="shared" si="74"/>
        <v>0.5</v>
      </c>
      <c r="DR21" s="150">
        <f t="shared" si="75"/>
        <v>3.6999999999999993</v>
      </c>
      <c r="DS21" s="163">
        <f t="shared" si="76"/>
        <v>13</v>
      </c>
      <c r="DT21" s="170">
        <v>57</v>
      </c>
      <c r="DU21" s="171">
        <v>57</v>
      </c>
      <c r="DV21" s="172">
        <f t="shared" si="27"/>
        <v>100</v>
      </c>
      <c r="DW21" s="173">
        <f t="shared" si="94"/>
        <v>1</v>
      </c>
      <c r="DX21" s="131">
        <v>0.2</v>
      </c>
      <c r="DY21" s="254">
        <v>50.2</v>
      </c>
      <c r="DZ21" s="135">
        <f t="shared" si="28"/>
        <v>8</v>
      </c>
      <c r="EA21" s="153">
        <v>0.2</v>
      </c>
      <c r="EB21" s="161">
        <v>25</v>
      </c>
      <c r="EC21" s="134">
        <f t="shared" si="29"/>
        <v>96.15384615384616</v>
      </c>
      <c r="ED21" s="135">
        <f t="shared" si="30"/>
        <v>17</v>
      </c>
      <c r="EE21" s="136">
        <v>0.1</v>
      </c>
      <c r="EF21" s="161">
        <v>1</v>
      </c>
      <c r="EG21" s="135">
        <f t="shared" si="31"/>
        <v>1</v>
      </c>
      <c r="EH21" s="153">
        <v>0.05</v>
      </c>
      <c r="EI21" s="161">
        <v>1</v>
      </c>
      <c r="EJ21" s="135">
        <f t="shared" si="32"/>
        <v>1</v>
      </c>
      <c r="EK21" s="153">
        <v>0.05</v>
      </c>
      <c r="EL21" s="161">
        <v>0</v>
      </c>
      <c r="EM21" s="135">
        <f t="shared" si="33"/>
        <v>2</v>
      </c>
      <c r="EN21" s="174">
        <v>0.1</v>
      </c>
      <c r="EO21" s="161">
        <v>3</v>
      </c>
      <c r="EP21" s="158">
        <v>13</v>
      </c>
      <c r="EQ21" s="134">
        <f t="shared" si="34"/>
        <v>23.076923076923077</v>
      </c>
      <c r="ER21" s="135">
        <f t="shared" si="35"/>
        <v>8</v>
      </c>
      <c r="ES21" s="153">
        <v>0.05</v>
      </c>
      <c r="ET21" s="134">
        <v>39.881831610044316</v>
      </c>
      <c r="EU21" s="134">
        <v>42.066420664206639</v>
      </c>
      <c r="EV21" s="134">
        <f t="shared" si="77"/>
        <v>105.47765477654775</v>
      </c>
      <c r="EW21" s="135">
        <f t="shared" si="36"/>
        <v>7</v>
      </c>
      <c r="EX21" s="153">
        <v>0.15</v>
      </c>
      <c r="EY21" s="161">
        <v>0</v>
      </c>
      <c r="EZ21" s="134">
        <f t="shared" si="78"/>
        <v>0</v>
      </c>
      <c r="FA21" s="135">
        <f t="shared" si="37"/>
        <v>8</v>
      </c>
      <c r="FB21" s="153">
        <v>0.05</v>
      </c>
      <c r="FC21" s="161">
        <v>0</v>
      </c>
      <c r="FD21" s="134">
        <f t="shared" si="79"/>
        <v>0</v>
      </c>
      <c r="FE21" s="135">
        <f t="shared" si="38"/>
        <v>8</v>
      </c>
      <c r="FF21" s="153">
        <v>0.05</v>
      </c>
      <c r="FG21" s="175">
        <v>1</v>
      </c>
      <c r="FH21" s="135">
        <f t="shared" si="80"/>
        <v>1</v>
      </c>
      <c r="FI21" s="174">
        <v>0.1</v>
      </c>
      <c r="FJ21" s="175">
        <v>0.9</v>
      </c>
      <c r="FK21" s="135">
        <f t="shared" si="81"/>
        <v>3</v>
      </c>
      <c r="FL21" s="153">
        <v>0.1</v>
      </c>
      <c r="FM21" s="175">
        <v>1</v>
      </c>
      <c r="FN21" s="158">
        <f t="shared" si="82"/>
        <v>1</v>
      </c>
      <c r="FO21" s="153">
        <v>0.1</v>
      </c>
      <c r="FP21" s="175">
        <v>0.7</v>
      </c>
      <c r="FQ21" s="135">
        <f t="shared" si="83"/>
        <v>4</v>
      </c>
      <c r="FR21" s="153">
        <v>0.1</v>
      </c>
      <c r="FS21" s="176">
        <f t="shared" si="39"/>
        <v>1.4000000000000006</v>
      </c>
      <c r="FT21" s="150">
        <f t="shared" si="84"/>
        <v>6.95</v>
      </c>
      <c r="FU21" s="130">
        <f t="shared" si="85"/>
        <v>6</v>
      </c>
      <c r="FV21" s="126">
        <v>20</v>
      </c>
      <c r="FW21" s="126">
        <v>20</v>
      </c>
      <c r="FX21" s="177">
        <f t="shared" si="40"/>
        <v>100</v>
      </c>
      <c r="FY21" s="130">
        <f t="shared" si="41"/>
        <v>1</v>
      </c>
      <c r="FZ21" s="178">
        <v>0.1</v>
      </c>
      <c r="GA21" s="179">
        <f>56/AU21*1000</f>
        <v>41.3589364844904</v>
      </c>
      <c r="GB21" s="129">
        <f>28/AV21*1000</f>
        <v>20.664206642066421</v>
      </c>
      <c r="GC21" s="168">
        <f t="shared" si="86"/>
        <v>49.963099630996311</v>
      </c>
      <c r="GD21" s="135">
        <f t="shared" si="42"/>
        <v>2</v>
      </c>
      <c r="GE21" s="136">
        <v>0.1</v>
      </c>
      <c r="GF21" s="180">
        <v>4</v>
      </c>
      <c r="GG21" s="158">
        <v>4</v>
      </c>
      <c r="GH21" s="134">
        <f t="shared" si="43"/>
        <v>100</v>
      </c>
      <c r="GI21" s="135">
        <v>1</v>
      </c>
      <c r="GJ21" s="182">
        <v>0.1</v>
      </c>
      <c r="GK21" s="161">
        <v>19</v>
      </c>
      <c r="GL21" s="183">
        <f t="shared" si="87"/>
        <v>14.022140221402212</v>
      </c>
      <c r="GM21" s="135">
        <f t="shared" si="88"/>
        <v>17</v>
      </c>
      <c r="GN21" s="136">
        <v>0.1</v>
      </c>
      <c r="GO21" s="161">
        <v>0</v>
      </c>
      <c r="GP21" s="134">
        <f t="shared" si="44"/>
        <v>0</v>
      </c>
      <c r="GQ21" s="135">
        <f t="shared" si="45"/>
        <v>1</v>
      </c>
      <c r="GR21" s="182">
        <v>0.1</v>
      </c>
      <c r="GS21" s="184">
        <f t="shared" si="46"/>
        <v>0.5</v>
      </c>
      <c r="GT21" s="150">
        <f t="shared" si="89"/>
        <v>2.2000000000000002</v>
      </c>
      <c r="GU21" s="163">
        <f t="shared" si="90"/>
        <v>6</v>
      </c>
      <c r="GV21" s="185">
        <f t="shared" si="47"/>
        <v>4.5500000000000007</v>
      </c>
      <c r="GW21" s="186">
        <f t="shared" si="91"/>
        <v>3</v>
      </c>
      <c r="GX21" s="186" t="s">
        <v>175</v>
      </c>
    </row>
    <row r="22" spans="1:206" s="9" customFormat="1" ht="15.75" x14ac:dyDescent="0.25">
      <c r="A22" s="126">
        <v>16</v>
      </c>
      <c r="B22" s="127" t="s">
        <v>181</v>
      </c>
      <c r="C22" s="128">
        <v>44335.357999999993</v>
      </c>
      <c r="D22" s="128">
        <v>15275.11</v>
      </c>
      <c r="E22" s="129">
        <f t="shared" si="48"/>
        <v>34.453561872670576</v>
      </c>
      <c r="F22" s="130">
        <f t="shared" si="49"/>
        <v>17</v>
      </c>
      <c r="G22" s="131">
        <v>0.12</v>
      </c>
      <c r="H22" s="132">
        <v>14477.07</v>
      </c>
      <c r="I22" s="133">
        <v>15275.11</v>
      </c>
      <c r="J22" s="134">
        <f t="shared" si="0"/>
        <v>105.51244139870846</v>
      </c>
      <c r="K22" s="134">
        <f>ABS(J22-K5)</f>
        <v>5.5124413987084608</v>
      </c>
      <c r="L22" s="135">
        <f t="shared" si="50"/>
        <v>9</v>
      </c>
      <c r="M22" s="136">
        <v>0.1</v>
      </c>
      <c r="N22" s="137">
        <v>5468.0990000000002</v>
      </c>
      <c r="O22" s="138">
        <f t="shared" si="51"/>
        <v>2295</v>
      </c>
      <c r="P22" s="139">
        <f t="shared" si="52"/>
        <v>2.3826139433551199</v>
      </c>
      <c r="Q22" s="135">
        <f t="shared" si="1"/>
        <v>7</v>
      </c>
      <c r="R22" s="136">
        <v>0.1</v>
      </c>
      <c r="S22" s="137">
        <v>56821.717810000002</v>
      </c>
      <c r="T22" s="128">
        <v>39602.316700000003</v>
      </c>
      <c r="U22" s="134">
        <f t="shared" si="2"/>
        <v>69.695739985232237</v>
      </c>
      <c r="V22" s="135">
        <f t="shared" si="3"/>
        <v>17</v>
      </c>
      <c r="W22" s="136">
        <v>0.1</v>
      </c>
      <c r="X22" s="137">
        <v>38962.816700000003</v>
      </c>
      <c r="Y22" s="140">
        <v>5372.9694500000005</v>
      </c>
      <c r="Z22" s="134">
        <f t="shared" si="4"/>
        <v>13.789992369827822</v>
      </c>
      <c r="AA22" s="130">
        <f t="shared" si="5"/>
        <v>9</v>
      </c>
      <c r="AB22" s="136">
        <v>0.1</v>
      </c>
      <c r="AC22" s="141">
        <f t="shared" si="53"/>
        <v>39602.316700000003</v>
      </c>
      <c r="AD22" s="142">
        <v>1350.13554</v>
      </c>
      <c r="AE22" s="129">
        <f t="shared" si="6"/>
        <v>3.4092337330356228</v>
      </c>
      <c r="AF22" s="130">
        <f t="shared" si="7"/>
        <v>10</v>
      </c>
      <c r="AG22" s="131">
        <v>0.12</v>
      </c>
      <c r="AH22" s="143">
        <v>0</v>
      </c>
      <c r="AI22" s="142">
        <f t="shared" si="54"/>
        <v>56821.717810000002</v>
      </c>
      <c r="AJ22" s="144">
        <f t="shared" si="8"/>
        <v>0</v>
      </c>
      <c r="AK22" s="145">
        <f t="shared" si="9"/>
        <v>1</v>
      </c>
      <c r="AL22" s="146">
        <v>0.08</v>
      </c>
      <c r="AM22" s="147">
        <v>2.4000133333333338</v>
      </c>
      <c r="AN22" s="142">
        <f t="shared" si="55"/>
        <v>15275.11</v>
      </c>
      <c r="AO22" s="148">
        <f t="shared" si="10"/>
        <v>1.571192176903036E-2</v>
      </c>
      <c r="AP22" s="145">
        <f t="shared" si="11"/>
        <v>17</v>
      </c>
      <c r="AQ22" s="146">
        <v>0.08</v>
      </c>
      <c r="AR22" s="149">
        <f t="shared" si="56"/>
        <v>0.79999999999999993</v>
      </c>
      <c r="AS22" s="150">
        <f t="shared" si="57"/>
        <v>8.8800000000000008</v>
      </c>
      <c r="AT22" s="151">
        <f t="shared" si="58"/>
        <v>17</v>
      </c>
      <c r="AU22" s="255">
        <v>2324</v>
      </c>
      <c r="AV22" s="256">
        <v>2295</v>
      </c>
      <c r="AW22" s="134">
        <f t="shared" si="12"/>
        <v>98.752151462994846</v>
      </c>
      <c r="AX22" s="135">
        <f t="shared" si="13"/>
        <v>14</v>
      </c>
      <c r="AY22" s="153">
        <v>0.12</v>
      </c>
      <c r="AZ22" s="154">
        <v>15</v>
      </c>
      <c r="BA22" s="129">
        <f t="shared" si="14"/>
        <v>0.4838709677419355</v>
      </c>
      <c r="BB22" s="130">
        <f t="shared" si="15"/>
        <v>14</v>
      </c>
      <c r="BC22" s="131">
        <v>0.12</v>
      </c>
      <c r="BD22" s="141">
        <v>2605.1</v>
      </c>
      <c r="BE22" s="126">
        <v>6.8</v>
      </c>
      <c r="BF22" s="142">
        <f t="shared" si="16"/>
        <v>31925.245098039217</v>
      </c>
      <c r="BG22" s="155">
        <f t="shared" si="59"/>
        <v>94.685900578459581</v>
      </c>
      <c r="BH22" s="156">
        <f>ABS(BG22-BH5)</f>
        <v>5.3140994215404191</v>
      </c>
      <c r="BI22" s="130">
        <f t="shared" si="60"/>
        <v>10</v>
      </c>
      <c r="BJ22" s="131">
        <v>0.15</v>
      </c>
      <c r="BK22" s="157">
        <v>13</v>
      </c>
      <c r="BL22" s="158">
        <v>9</v>
      </c>
      <c r="BM22" s="159">
        <f>BK22/BL22*100</f>
        <v>144.44444444444443</v>
      </c>
      <c r="BN22" s="160">
        <f t="shared" si="62"/>
        <v>11</v>
      </c>
      <c r="BO22" s="153">
        <v>0.11</v>
      </c>
      <c r="BP22" s="257">
        <v>7</v>
      </c>
      <c r="BQ22" s="258">
        <v>25</v>
      </c>
      <c r="BR22" s="134">
        <f t="shared" si="17"/>
        <v>28.000000000000004</v>
      </c>
      <c r="BS22" s="135">
        <f t="shared" si="18"/>
        <v>6</v>
      </c>
      <c r="BT22" s="153">
        <v>0.03</v>
      </c>
      <c r="BU22" s="161">
        <v>3</v>
      </c>
      <c r="BV22" s="158">
        <v>3</v>
      </c>
      <c r="BW22" s="134">
        <f t="shared" si="19"/>
        <v>100</v>
      </c>
      <c r="BX22" s="135">
        <f t="shared" si="20"/>
        <v>1</v>
      </c>
      <c r="BY22" s="153">
        <v>7.0000000000000007E-2</v>
      </c>
      <c r="BZ22" s="162">
        <f t="shared" si="63"/>
        <v>0.60000000000000009</v>
      </c>
      <c r="CA22" s="150">
        <f t="shared" si="64"/>
        <v>6.3199999999999994</v>
      </c>
      <c r="CB22" s="163">
        <f t="shared" si="65"/>
        <v>16</v>
      </c>
      <c r="CC22" s="164"/>
      <c r="CD22" s="165"/>
      <c r="CE22" s="166">
        <v>4.53E-2</v>
      </c>
      <c r="CF22" s="135">
        <f t="shared" si="93"/>
        <v>17</v>
      </c>
      <c r="CG22" s="131">
        <v>0.02</v>
      </c>
      <c r="CH22" s="167">
        <v>0.40600000000000003</v>
      </c>
      <c r="CI22" s="130">
        <f t="shared" si="21"/>
        <v>9</v>
      </c>
      <c r="CJ22" s="131">
        <v>0.15</v>
      </c>
      <c r="CK22" s="134">
        <v>96.32</v>
      </c>
      <c r="CL22" s="135">
        <f t="shared" si="66"/>
        <v>2</v>
      </c>
      <c r="CM22" s="153">
        <v>0.08</v>
      </c>
      <c r="CN22" s="161">
        <v>12</v>
      </c>
      <c r="CO22" s="135">
        <f t="shared" si="67"/>
        <v>9</v>
      </c>
      <c r="CP22" s="153">
        <v>0.15</v>
      </c>
      <c r="CQ22" s="168">
        <f t="shared" si="22"/>
        <v>0.4</v>
      </c>
      <c r="CR22" s="150">
        <f t="shared" si="68"/>
        <v>3.1999999999999997</v>
      </c>
      <c r="CS22" s="151">
        <f t="shared" si="69"/>
        <v>7</v>
      </c>
      <c r="CT22" s="255">
        <v>3</v>
      </c>
      <c r="CU22" s="134">
        <v>1</v>
      </c>
      <c r="CV22" s="158">
        <f t="shared" si="23"/>
        <v>1</v>
      </c>
      <c r="CW22" s="136">
        <v>0.1</v>
      </c>
      <c r="CX22" s="161">
        <v>0</v>
      </c>
      <c r="CY22" s="135">
        <f t="shared" si="24"/>
        <v>15</v>
      </c>
      <c r="CZ22" s="153">
        <v>0.15</v>
      </c>
      <c r="DA22" s="161">
        <v>47</v>
      </c>
      <c r="DB22" s="158">
        <v>47</v>
      </c>
      <c r="DC22" s="158">
        <f t="shared" si="25"/>
        <v>100</v>
      </c>
      <c r="DD22" s="135">
        <f t="shared" si="26"/>
        <v>1</v>
      </c>
      <c r="DE22" s="153">
        <v>0.15</v>
      </c>
      <c r="DF22" s="161">
        <v>227</v>
      </c>
      <c r="DG22" s="158">
        <v>187</v>
      </c>
      <c r="DH22" s="134">
        <f t="shared" si="70"/>
        <v>82.378854625550659</v>
      </c>
      <c r="DI22" s="134">
        <f t="shared" si="71"/>
        <v>17.621145374449341</v>
      </c>
      <c r="DJ22" s="135">
        <f t="shared" si="72"/>
        <v>6</v>
      </c>
      <c r="DK22" s="153">
        <v>0.05</v>
      </c>
      <c r="DL22" s="175">
        <v>0</v>
      </c>
      <c r="DM22" s="134">
        <v>0</v>
      </c>
      <c r="DN22" s="134">
        <v>0</v>
      </c>
      <c r="DO22" s="158">
        <f t="shared" si="73"/>
        <v>7</v>
      </c>
      <c r="DP22" s="153">
        <v>0.05</v>
      </c>
      <c r="DQ22" s="168">
        <f t="shared" si="74"/>
        <v>0.5</v>
      </c>
      <c r="DR22" s="150">
        <f t="shared" si="75"/>
        <v>3.15</v>
      </c>
      <c r="DS22" s="163">
        <f t="shared" si="76"/>
        <v>12</v>
      </c>
      <c r="DT22" s="170">
        <v>40</v>
      </c>
      <c r="DU22" s="171">
        <v>65</v>
      </c>
      <c r="DV22" s="172">
        <f t="shared" si="27"/>
        <v>61.53846153846154</v>
      </c>
      <c r="DW22" s="173">
        <f t="shared" si="94"/>
        <v>15</v>
      </c>
      <c r="DX22" s="131">
        <v>0.2</v>
      </c>
      <c r="DY22" s="254">
        <v>69</v>
      </c>
      <c r="DZ22" s="135">
        <f t="shared" si="28"/>
        <v>1</v>
      </c>
      <c r="EA22" s="153">
        <v>0.2</v>
      </c>
      <c r="EB22" s="161">
        <v>26</v>
      </c>
      <c r="EC22" s="134">
        <f t="shared" si="29"/>
        <v>100</v>
      </c>
      <c r="ED22" s="135">
        <f t="shared" si="30"/>
        <v>1</v>
      </c>
      <c r="EE22" s="136">
        <v>0.1</v>
      </c>
      <c r="EF22" s="161">
        <v>1</v>
      </c>
      <c r="EG22" s="135">
        <f t="shared" si="31"/>
        <v>1</v>
      </c>
      <c r="EH22" s="153">
        <v>0.05</v>
      </c>
      <c r="EI22" s="161">
        <v>1</v>
      </c>
      <c r="EJ22" s="135">
        <f t="shared" si="32"/>
        <v>1</v>
      </c>
      <c r="EK22" s="153">
        <v>0.05</v>
      </c>
      <c r="EL22" s="161">
        <v>0</v>
      </c>
      <c r="EM22" s="135">
        <f t="shared" si="33"/>
        <v>2</v>
      </c>
      <c r="EN22" s="174">
        <v>0.1</v>
      </c>
      <c r="EO22" s="161">
        <v>4</v>
      </c>
      <c r="EP22" s="158">
        <v>15</v>
      </c>
      <c r="EQ22" s="134">
        <f t="shared" si="34"/>
        <v>26.666666666666668</v>
      </c>
      <c r="ER22" s="135">
        <f t="shared" si="35"/>
        <v>10</v>
      </c>
      <c r="ES22" s="153">
        <v>0.05</v>
      </c>
      <c r="ET22" s="134">
        <v>35.714285714285715</v>
      </c>
      <c r="EU22" s="134">
        <v>35.294117647058826</v>
      </c>
      <c r="EV22" s="134">
        <f t="shared" si="77"/>
        <v>98.82352941176471</v>
      </c>
      <c r="EW22" s="135">
        <f t="shared" si="36"/>
        <v>11</v>
      </c>
      <c r="EX22" s="153">
        <v>0.15</v>
      </c>
      <c r="EY22" s="161">
        <v>0</v>
      </c>
      <c r="EZ22" s="134">
        <f t="shared" si="78"/>
        <v>0</v>
      </c>
      <c r="FA22" s="135">
        <f t="shared" si="37"/>
        <v>8</v>
      </c>
      <c r="FB22" s="153">
        <v>0.05</v>
      </c>
      <c r="FC22" s="161">
        <v>0</v>
      </c>
      <c r="FD22" s="134">
        <f t="shared" si="79"/>
        <v>0</v>
      </c>
      <c r="FE22" s="135">
        <f t="shared" si="38"/>
        <v>8</v>
      </c>
      <c r="FF22" s="153">
        <v>0.05</v>
      </c>
      <c r="FG22" s="175">
        <v>1</v>
      </c>
      <c r="FH22" s="135">
        <f t="shared" si="80"/>
        <v>1</v>
      </c>
      <c r="FI22" s="174">
        <v>0.1</v>
      </c>
      <c r="FJ22" s="175">
        <v>0.75</v>
      </c>
      <c r="FK22" s="135">
        <f t="shared" si="81"/>
        <v>11</v>
      </c>
      <c r="FL22" s="153">
        <v>0.1</v>
      </c>
      <c r="FM22" s="175">
        <v>0.3</v>
      </c>
      <c r="FN22" s="158">
        <f t="shared" si="82"/>
        <v>4</v>
      </c>
      <c r="FO22" s="153">
        <v>0.1</v>
      </c>
      <c r="FP22" s="175">
        <v>0.7</v>
      </c>
      <c r="FQ22" s="135">
        <f t="shared" si="83"/>
        <v>4</v>
      </c>
      <c r="FR22" s="153">
        <v>0.1</v>
      </c>
      <c r="FS22" s="176">
        <f t="shared" si="39"/>
        <v>1.4000000000000006</v>
      </c>
      <c r="FT22" s="150">
        <f t="shared" si="84"/>
        <v>8.5500000000000007</v>
      </c>
      <c r="FU22" s="130">
        <f t="shared" si="85"/>
        <v>7</v>
      </c>
      <c r="FV22" s="126">
        <v>23</v>
      </c>
      <c r="FW22" s="126">
        <v>23</v>
      </c>
      <c r="FX22" s="177">
        <f t="shared" si="40"/>
        <v>100</v>
      </c>
      <c r="FY22" s="130">
        <f t="shared" si="41"/>
        <v>1</v>
      </c>
      <c r="FZ22" s="178">
        <v>0.1</v>
      </c>
      <c r="GA22" s="179">
        <f>27/AU22*1000</f>
        <v>11.617900172117039</v>
      </c>
      <c r="GB22" s="129">
        <f>24/AV22*1000</f>
        <v>10.457516339869281</v>
      </c>
      <c r="GC22" s="168">
        <f t="shared" si="86"/>
        <v>90.012103606874845</v>
      </c>
      <c r="GD22" s="135">
        <f t="shared" si="42"/>
        <v>11</v>
      </c>
      <c r="GE22" s="136">
        <v>0.1</v>
      </c>
      <c r="GF22" s="180">
        <v>20</v>
      </c>
      <c r="GG22" s="181">
        <v>20</v>
      </c>
      <c r="GH22" s="134">
        <f t="shared" si="43"/>
        <v>100</v>
      </c>
      <c r="GI22" s="135">
        <v>1</v>
      </c>
      <c r="GJ22" s="182">
        <v>0.1</v>
      </c>
      <c r="GK22" s="161">
        <v>7</v>
      </c>
      <c r="GL22" s="183">
        <f t="shared" si="87"/>
        <v>3.0501089324618733</v>
      </c>
      <c r="GM22" s="135">
        <f t="shared" si="88"/>
        <v>4</v>
      </c>
      <c r="GN22" s="136">
        <v>0.1</v>
      </c>
      <c r="GO22" s="161">
        <v>0</v>
      </c>
      <c r="GP22" s="134">
        <f t="shared" si="44"/>
        <v>0</v>
      </c>
      <c r="GQ22" s="135">
        <f t="shared" si="45"/>
        <v>1</v>
      </c>
      <c r="GR22" s="182">
        <v>0.1</v>
      </c>
      <c r="GS22" s="184">
        <f t="shared" si="46"/>
        <v>0.5</v>
      </c>
      <c r="GT22" s="150">
        <f t="shared" si="89"/>
        <v>1.8000000000000003</v>
      </c>
      <c r="GU22" s="163">
        <f t="shared" si="90"/>
        <v>3</v>
      </c>
      <c r="GV22" s="185">
        <f t="shared" si="47"/>
        <v>7.2166666666666677</v>
      </c>
      <c r="GW22" s="186">
        <f t="shared" si="91"/>
        <v>12</v>
      </c>
      <c r="GX22" s="186" t="s">
        <v>175</v>
      </c>
    </row>
    <row r="23" spans="1:206" s="9" customFormat="1" ht="15.75" x14ac:dyDescent="0.25">
      <c r="A23" s="259">
        <v>17</v>
      </c>
      <c r="B23" s="260" t="s">
        <v>182</v>
      </c>
      <c r="C23" s="261">
        <v>16752.844000000001</v>
      </c>
      <c r="D23" s="261">
        <v>15877.51</v>
      </c>
      <c r="E23" s="262">
        <f t="shared" si="48"/>
        <v>94.775012529215928</v>
      </c>
      <c r="F23" s="263">
        <f t="shared" si="49"/>
        <v>13</v>
      </c>
      <c r="G23" s="264">
        <v>0.12</v>
      </c>
      <c r="H23" s="265">
        <v>24675.17</v>
      </c>
      <c r="I23" s="266">
        <v>15877.51</v>
      </c>
      <c r="J23" s="267">
        <f t="shared" si="0"/>
        <v>64.34610176951162</v>
      </c>
      <c r="K23" s="267">
        <f>ABS(J23-K5)</f>
        <v>35.65389823048838</v>
      </c>
      <c r="L23" s="268">
        <f t="shared" si="50"/>
        <v>17</v>
      </c>
      <c r="M23" s="269">
        <v>0.1</v>
      </c>
      <c r="N23" s="270">
        <v>28911.268</v>
      </c>
      <c r="O23" s="256">
        <f t="shared" si="51"/>
        <v>9024</v>
      </c>
      <c r="P23" s="271">
        <f t="shared" si="52"/>
        <v>3.2038195921985815</v>
      </c>
      <c r="Q23" s="268">
        <f t="shared" si="1"/>
        <v>5</v>
      </c>
      <c r="R23" s="269">
        <v>0.1</v>
      </c>
      <c r="S23" s="270">
        <v>32245.286749999999</v>
      </c>
      <c r="T23" s="261">
        <v>31811.105749999999</v>
      </c>
      <c r="U23" s="267">
        <f t="shared" si="2"/>
        <v>98.653505539069215</v>
      </c>
      <c r="V23" s="268">
        <f t="shared" si="3"/>
        <v>4</v>
      </c>
      <c r="W23" s="269">
        <v>0.1</v>
      </c>
      <c r="X23" s="270">
        <v>30941.061750000001</v>
      </c>
      <c r="Y23" s="272">
        <v>3150.1017499999998</v>
      </c>
      <c r="Z23" s="267">
        <f t="shared" si="4"/>
        <v>10.180974962825895</v>
      </c>
      <c r="AA23" s="263">
        <f t="shared" si="5"/>
        <v>4</v>
      </c>
      <c r="AB23" s="269">
        <v>0.1</v>
      </c>
      <c r="AC23" s="273">
        <f t="shared" si="53"/>
        <v>31811.105749999999</v>
      </c>
      <c r="AD23" s="274">
        <v>2163.2263599999997</v>
      </c>
      <c r="AE23" s="262">
        <f t="shared" si="6"/>
        <v>6.8002237237540841</v>
      </c>
      <c r="AF23" s="263">
        <f t="shared" si="7"/>
        <v>6</v>
      </c>
      <c r="AG23" s="264">
        <v>0.12</v>
      </c>
      <c r="AH23" s="275">
        <v>0</v>
      </c>
      <c r="AI23" s="274">
        <f t="shared" si="54"/>
        <v>32245.286749999999</v>
      </c>
      <c r="AJ23" s="276">
        <f t="shared" si="8"/>
        <v>0</v>
      </c>
      <c r="AK23" s="277">
        <f t="shared" si="9"/>
        <v>1</v>
      </c>
      <c r="AL23" s="278">
        <v>0.08</v>
      </c>
      <c r="AM23" s="279">
        <v>-11.52181</v>
      </c>
      <c r="AN23" s="274">
        <f t="shared" si="55"/>
        <v>15877.51</v>
      </c>
      <c r="AO23" s="280">
        <f t="shared" si="10"/>
        <v>-7.2566857145736324E-2</v>
      </c>
      <c r="AP23" s="277">
        <f t="shared" si="11"/>
        <v>1</v>
      </c>
      <c r="AQ23" s="278">
        <v>0.08</v>
      </c>
      <c r="AR23" s="281">
        <f t="shared" si="56"/>
        <v>0.79999999999999993</v>
      </c>
      <c r="AS23" s="282">
        <f t="shared" si="57"/>
        <v>5.44</v>
      </c>
      <c r="AT23" s="283">
        <f t="shared" si="58"/>
        <v>4</v>
      </c>
      <c r="AU23" s="255">
        <v>9147</v>
      </c>
      <c r="AV23" s="256">
        <v>9024</v>
      </c>
      <c r="AW23" s="267">
        <f t="shared" si="12"/>
        <v>98.655296818629054</v>
      </c>
      <c r="AX23" s="268">
        <f t="shared" si="13"/>
        <v>15</v>
      </c>
      <c r="AY23" s="284">
        <v>0.12</v>
      </c>
      <c r="AZ23" s="285">
        <v>27</v>
      </c>
      <c r="BA23" s="262">
        <f t="shared" si="14"/>
        <v>0.87096774193548387</v>
      </c>
      <c r="BB23" s="263">
        <f t="shared" si="15"/>
        <v>4</v>
      </c>
      <c r="BC23" s="264">
        <v>0.12</v>
      </c>
      <c r="BD23" s="273">
        <v>5175.2</v>
      </c>
      <c r="BE23" s="259">
        <v>12.3</v>
      </c>
      <c r="BF23" s="274">
        <f t="shared" si="16"/>
        <v>35062.330623306232</v>
      </c>
      <c r="BG23" s="286">
        <f t="shared" si="59"/>
        <v>103.99006620786615</v>
      </c>
      <c r="BH23" s="287">
        <f>ABS(BG23-BH5)</f>
        <v>3.9900662078661497</v>
      </c>
      <c r="BI23" s="263">
        <f t="shared" si="60"/>
        <v>6</v>
      </c>
      <c r="BJ23" s="264">
        <v>0.15</v>
      </c>
      <c r="BK23" s="288">
        <v>30</v>
      </c>
      <c r="BL23" s="258">
        <v>9</v>
      </c>
      <c r="BM23" s="289">
        <f>BK23/BL23*100</f>
        <v>333.33333333333337</v>
      </c>
      <c r="BN23" s="290">
        <f t="shared" si="62"/>
        <v>13</v>
      </c>
      <c r="BO23" s="284">
        <v>0.11</v>
      </c>
      <c r="BP23" s="257">
        <v>21</v>
      </c>
      <c r="BQ23" s="258">
        <v>107</v>
      </c>
      <c r="BR23" s="267">
        <f t="shared" si="17"/>
        <v>19.626168224299064</v>
      </c>
      <c r="BS23" s="268">
        <f t="shared" si="18"/>
        <v>9</v>
      </c>
      <c r="BT23" s="284">
        <v>0.03</v>
      </c>
      <c r="BU23" s="257">
        <v>7</v>
      </c>
      <c r="BV23" s="258">
        <v>7</v>
      </c>
      <c r="BW23" s="267">
        <f t="shared" si="19"/>
        <v>100</v>
      </c>
      <c r="BX23" s="268">
        <f t="shared" si="20"/>
        <v>1</v>
      </c>
      <c r="BY23" s="284">
        <v>7.0000000000000007E-2</v>
      </c>
      <c r="BZ23" s="251">
        <f t="shared" si="63"/>
        <v>0.60000000000000009</v>
      </c>
      <c r="CA23" s="282">
        <f t="shared" si="64"/>
        <v>4.9499999999999993</v>
      </c>
      <c r="CB23" s="291">
        <f t="shared" si="65"/>
        <v>8</v>
      </c>
      <c r="CC23" s="292"/>
      <c r="CD23" s="293"/>
      <c r="CE23" s="294">
        <v>2E-3</v>
      </c>
      <c r="CF23" s="268">
        <f t="shared" si="93"/>
        <v>13</v>
      </c>
      <c r="CG23" s="264">
        <v>0.02</v>
      </c>
      <c r="CH23" s="295">
        <v>2.6230000000000002</v>
      </c>
      <c r="CI23" s="263">
        <f t="shared" si="21"/>
        <v>17</v>
      </c>
      <c r="CJ23" s="264">
        <v>0.15</v>
      </c>
      <c r="CK23" s="267">
        <v>83.42</v>
      </c>
      <c r="CL23" s="268">
        <f t="shared" si="66"/>
        <v>7</v>
      </c>
      <c r="CM23" s="284">
        <v>0.08</v>
      </c>
      <c r="CN23" s="257">
        <v>0</v>
      </c>
      <c r="CO23" s="268">
        <f t="shared" si="67"/>
        <v>15</v>
      </c>
      <c r="CP23" s="284">
        <v>0.15</v>
      </c>
      <c r="CQ23" s="296">
        <f t="shared" si="22"/>
        <v>0.4</v>
      </c>
      <c r="CR23" s="282">
        <f t="shared" si="68"/>
        <v>5.6199999999999992</v>
      </c>
      <c r="CS23" s="283">
        <f t="shared" si="69"/>
        <v>17</v>
      </c>
      <c r="CT23" s="255">
        <v>2</v>
      </c>
      <c r="CU23" s="267">
        <v>0.6</v>
      </c>
      <c r="CV23" s="258">
        <f t="shared" si="23"/>
        <v>15</v>
      </c>
      <c r="CW23" s="269">
        <v>0.1</v>
      </c>
      <c r="CX23" s="257">
        <v>0</v>
      </c>
      <c r="CY23" s="268">
        <f t="shared" si="24"/>
        <v>15</v>
      </c>
      <c r="CZ23" s="284">
        <v>0.15</v>
      </c>
      <c r="DA23" s="257">
        <v>94</v>
      </c>
      <c r="DB23" s="258">
        <v>94</v>
      </c>
      <c r="DC23" s="258">
        <f t="shared" si="25"/>
        <v>100</v>
      </c>
      <c r="DD23" s="268">
        <f t="shared" si="26"/>
        <v>1</v>
      </c>
      <c r="DE23" s="284">
        <v>0.15</v>
      </c>
      <c r="DF23" s="257">
        <v>459</v>
      </c>
      <c r="DG23" s="258">
        <v>91</v>
      </c>
      <c r="DH23" s="267">
        <f t="shared" si="70"/>
        <v>19.825708061002178</v>
      </c>
      <c r="DI23" s="267">
        <f t="shared" si="71"/>
        <v>80.174291938997825</v>
      </c>
      <c r="DJ23" s="268">
        <f t="shared" si="72"/>
        <v>13</v>
      </c>
      <c r="DK23" s="284">
        <v>0.05</v>
      </c>
      <c r="DL23" s="297">
        <v>0</v>
      </c>
      <c r="DM23" s="267">
        <v>0</v>
      </c>
      <c r="DN23" s="267">
        <v>0</v>
      </c>
      <c r="DO23" s="258">
        <f t="shared" si="73"/>
        <v>7</v>
      </c>
      <c r="DP23" s="284">
        <v>0.05</v>
      </c>
      <c r="DQ23" s="296">
        <f t="shared" si="74"/>
        <v>0.5</v>
      </c>
      <c r="DR23" s="282">
        <f t="shared" si="75"/>
        <v>4.8999999999999995</v>
      </c>
      <c r="DS23" s="291">
        <f t="shared" si="76"/>
        <v>16</v>
      </c>
      <c r="DT23" s="298">
        <v>0</v>
      </c>
      <c r="DU23" s="299">
        <v>70</v>
      </c>
      <c r="DV23" s="300">
        <v>0</v>
      </c>
      <c r="DW23" s="301">
        <f>RANK(DV23,$DV$7:$DV$23)</f>
        <v>16</v>
      </c>
      <c r="DX23" s="264">
        <v>0.2</v>
      </c>
      <c r="DY23" s="302">
        <v>9</v>
      </c>
      <c r="DZ23" s="268">
        <f t="shared" si="28"/>
        <v>17</v>
      </c>
      <c r="EA23" s="284">
        <v>0.2</v>
      </c>
      <c r="EB23" s="257">
        <v>26</v>
      </c>
      <c r="EC23" s="267">
        <f t="shared" si="29"/>
        <v>100</v>
      </c>
      <c r="ED23" s="268">
        <f t="shared" si="30"/>
        <v>1</v>
      </c>
      <c r="EE23" s="269">
        <v>0.1</v>
      </c>
      <c r="EF23" s="257">
        <v>1</v>
      </c>
      <c r="EG23" s="268">
        <f t="shared" si="31"/>
        <v>1</v>
      </c>
      <c r="EH23" s="284">
        <v>0.05</v>
      </c>
      <c r="EI23" s="257">
        <v>1</v>
      </c>
      <c r="EJ23" s="268">
        <f t="shared" si="32"/>
        <v>1</v>
      </c>
      <c r="EK23" s="284">
        <v>0.05</v>
      </c>
      <c r="EL23" s="257">
        <v>0</v>
      </c>
      <c r="EM23" s="268">
        <f t="shared" si="33"/>
        <v>2</v>
      </c>
      <c r="EN23" s="284">
        <v>0.1</v>
      </c>
      <c r="EO23" s="257">
        <v>10</v>
      </c>
      <c r="EP23" s="258">
        <v>16</v>
      </c>
      <c r="EQ23" s="267">
        <f t="shared" si="34"/>
        <v>62.5</v>
      </c>
      <c r="ER23" s="268">
        <f t="shared" si="35"/>
        <v>16</v>
      </c>
      <c r="ES23" s="284">
        <v>0.05</v>
      </c>
      <c r="ET23" s="267">
        <v>22.193068765715537</v>
      </c>
      <c r="EU23" s="267">
        <v>22.717198581560282</v>
      </c>
      <c r="EV23" s="267">
        <f t="shared" si="77"/>
        <v>102.36168247563147</v>
      </c>
      <c r="EW23" s="268">
        <f t="shared" si="36"/>
        <v>8</v>
      </c>
      <c r="EX23" s="284">
        <v>0.15</v>
      </c>
      <c r="EY23" s="257">
        <v>0</v>
      </c>
      <c r="EZ23" s="267">
        <f t="shared" si="78"/>
        <v>0</v>
      </c>
      <c r="FA23" s="268">
        <f t="shared" si="37"/>
        <v>8</v>
      </c>
      <c r="FB23" s="284">
        <v>0.05</v>
      </c>
      <c r="FC23" s="257">
        <v>0</v>
      </c>
      <c r="FD23" s="267">
        <f t="shared" si="79"/>
        <v>0</v>
      </c>
      <c r="FE23" s="268">
        <f t="shared" si="38"/>
        <v>8</v>
      </c>
      <c r="FF23" s="284">
        <v>0.05</v>
      </c>
      <c r="FG23" s="297">
        <v>0.7</v>
      </c>
      <c r="FH23" s="268">
        <f t="shared" si="80"/>
        <v>14</v>
      </c>
      <c r="FI23" s="303">
        <v>0.1</v>
      </c>
      <c r="FJ23" s="297">
        <v>0.44</v>
      </c>
      <c r="FK23" s="268">
        <f t="shared" si="81"/>
        <v>16</v>
      </c>
      <c r="FL23" s="284">
        <v>0.1</v>
      </c>
      <c r="FM23" s="297">
        <v>0.3</v>
      </c>
      <c r="FN23" s="258">
        <f t="shared" si="82"/>
        <v>4</v>
      </c>
      <c r="FO23" s="284">
        <v>0.1</v>
      </c>
      <c r="FP23" s="297">
        <v>0.7</v>
      </c>
      <c r="FQ23" s="268">
        <f t="shared" si="83"/>
        <v>4</v>
      </c>
      <c r="FR23" s="284">
        <v>0.1</v>
      </c>
      <c r="FS23" s="304">
        <f t="shared" si="39"/>
        <v>1.4000000000000006</v>
      </c>
      <c r="FT23" s="282">
        <f t="shared" si="84"/>
        <v>13.600000000000001</v>
      </c>
      <c r="FU23" s="263">
        <f t="shared" si="85"/>
        <v>17</v>
      </c>
      <c r="FV23" s="259">
        <v>32</v>
      </c>
      <c r="FW23" s="259">
        <v>32</v>
      </c>
      <c r="FX23" s="305">
        <f t="shared" si="40"/>
        <v>100</v>
      </c>
      <c r="FY23" s="263">
        <f t="shared" si="41"/>
        <v>1</v>
      </c>
      <c r="FZ23" s="306">
        <v>0.1</v>
      </c>
      <c r="GA23" s="307">
        <f>121/AU23*1000</f>
        <v>13.228380889909261</v>
      </c>
      <c r="GB23" s="262">
        <f>116/AV23*1000</f>
        <v>12.854609929078014</v>
      </c>
      <c r="GC23" s="296">
        <f t="shared" si="86"/>
        <v>97.174476877088097</v>
      </c>
      <c r="GD23" s="268">
        <f t="shared" si="42"/>
        <v>15</v>
      </c>
      <c r="GE23" s="269">
        <v>0.1</v>
      </c>
      <c r="GF23" s="308">
        <v>53</v>
      </c>
      <c r="GG23" s="309">
        <v>53</v>
      </c>
      <c r="GH23" s="267">
        <f t="shared" si="43"/>
        <v>100</v>
      </c>
      <c r="GI23" s="268">
        <v>1</v>
      </c>
      <c r="GJ23" s="310">
        <v>0.1</v>
      </c>
      <c r="GK23" s="257">
        <v>32</v>
      </c>
      <c r="GL23" s="311">
        <f t="shared" si="87"/>
        <v>3.5460992907801416</v>
      </c>
      <c r="GM23" s="268">
        <f t="shared" si="88"/>
        <v>9</v>
      </c>
      <c r="GN23" s="269">
        <v>0.1</v>
      </c>
      <c r="GO23" s="257">
        <v>2</v>
      </c>
      <c r="GP23" s="267">
        <f t="shared" si="44"/>
        <v>0.22163120567375885</v>
      </c>
      <c r="GQ23" s="268">
        <f t="shared" si="45"/>
        <v>15</v>
      </c>
      <c r="GR23" s="310">
        <v>0.1</v>
      </c>
      <c r="GS23" s="312">
        <f t="shared" si="46"/>
        <v>0.5</v>
      </c>
      <c r="GT23" s="282">
        <f t="shared" si="89"/>
        <v>4.0999999999999996</v>
      </c>
      <c r="GU23" s="291">
        <f t="shared" si="90"/>
        <v>16</v>
      </c>
      <c r="GV23" s="313">
        <f t="shared" si="47"/>
        <v>9.1000000000000014</v>
      </c>
      <c r="GW23" s="314">
        <f t="shared" si="91"/>
        <v>17</v>
      </c>
      <c r="GX23" s="314" t="s">
        <v>175</v>
      </c>
    </row>
    <row r="24" spans="1:206" s="9" customFormat="1" ht="12.75" x14ac:dyDescent="0.2">
      <c r="A24" s="315"/>
      <c r="B24" s="316" t="s">
        <v>183</v>
      </c>
      <c r="C24" s="317">
        <f>SUM(C7:C23)</f>
        <v>458104.63800000015</v>
      </c>
      <c r="D24" s="318">
        <f>SUM(D7:D23)</f>
        <v>474434.18</v>
      </c>
      <c r="E24" s="319">
        <f t="shared" si="48"/>
        <v>103.56458779183978</v>
      </c>
      <c r="F24" s="319"/>
      <c r="G24" s="320">
        <v>0.12</v>
      </c>
      <c r="H24" s="321">
        <f>SUM(H7:H23)</f>
        <v>493837.74999999994</v>
      </c>
      <c r="I24" s="322">
        <f>SUM(I7:I23)</f>
        <v>474434.18</v>
      </c>
      <c r="J24" s="323">
        <f t="shared" si="0"/>
        <v>96.070861330467352</v>
      </c>
      <c r="K24" s="323"/>
      <c r="L24" s="323"/>
      <c r="M24" s="324"/>
      <c r="N24" s="321">
        <f>SUM(N7:N23)</f>
        <v>287588.31800000003</v>
      </c>
      <c r="O24" s="325">
        <f>SUM(O7:O23)</f>
        <v>116353</v>
      </c>
      <c r="P24" s="326">
        <f t="shared" si="52"/>
        <v>2.4716880355469995</v>
      </c>
      <c r="Q24" s="323"/>
      <c r="R24" s="324"/>
      <c r="S24" s="321">
        <f>SUM(S7:S23)</f>
        <v>861987.98647999996</v>
      </c>
      <c r="T24" s="322">
        <f>SUM(T7:T23)</f>
        <v>809599.36797999998</v>
      </c>
      <c r="U24" s="323">
        <f t="shared" si="2"/>
        <v>93.922349345733551</v>
      </c>
      <c r="V24" s="323"/>
      <c r="W24" s="324"/>
      <c r="X24" s="321">
        <f>SUM(X7:X23)</f>
        <v>759906.00949000008</v>
      </c>
      <c r="Y24" s="322">
        <f>SUM(Y7:Y23)</f>
        <v>98121.22206</v>
      </c>
      <c r="Z24" s="323">
        <f t="shared" si="4"/>
        <v>12.912283997576573</v>
      </c>
      <c r="AA24" s="327"/>
      <c r="AB24" s="328"/>
      <c r="AC24" s="329">
        <f>SUM(AC7:AC23)</f>
        <v>809599.36797999998</v>
      </c>
      <c r="AD24" s="330">
        <f>SUM(AD7:AD23)</f>
        <v>76250.325760000007</v>
      </c>
      <c r="AE24" s="319">
        <f t="shared" si="6"/>
        <v>9.4182788148969596</v>
      </c>
      <c r="AF24" s="319"/>
      <c r="AG24" s="331"/>
      <c r="AH24" s="332">
        <f>SUM(AH7:AH23)</f>
        <v>0.81064999999999998</v>
      </c>
      <c r="AI24" s="318">
        <f>SUM(AI7:AI23)</f>
        <v>861987.98647999996</v>
      </c>
      <c r="AJ24" s="333">
        <f t="shared" si="8"/>
        <v>9.4044234109382091E-5</v>
      </c>
      <c r="AK24" s="334"/>
      <c r="AL24" s="335"/>
      <c r="AM24" s="332">
        <f>SUM(AM7:AM23)</f>
        <v>7.9021816666666655</v>
      </c>
      <c r="AN24" s="318">
        <f>SUM(AN7:AN23)</f>
        <v>474434.18</v>
      </c>
      <c r="AO24" s="334">
        <v>4.0699999999999998E-3</v>
      </c>
      <c r="AP24" s="334"/>
      <c r="AQ24" s="335"/>
      <c r="AR24" s="332"/>
      <c r="AS24" s="334"/>
      <c r="AT24" s="335"/>
      <c r="AU24" s="336">
        <f>SUM(AU7:AU23)</f>
        <v>115117</v>
      </c>
      <c r="AV24" s="325">
        <f>SUM(AV7:AV23)</f>
        <v>116353</v>
      </c>
      <c r="AW24" s="323">
        <f t="shared" si="12"/>
        <v>101.07369024557624</v>
      </c>
      <c r="AX24" s="323"/>
      <c r="AY24" s="324"/>
      <c r="AZ24" s="337">
        <f>SUM(AZ7:AZ23)</f>
        <v>377</v>
      </c>
      <c r="BA24" s="338">
        <v>31</v>
      </c>
      <c r="BB24" s="319"/>
      <c r="BC24" s="331"/>
      <c r="BD24" s="317">
        <f>SUM(BD7:BD23)</f>
        <v>85672.2</v>
      </c>
      <c r="BE24" s="319">
        <f>SUM(BE7:BE23)</f>
        <v>200.10000000000002</v>
      </c>
      <c r="BF24" s="318">
        <f>BD24/BE24/12*1000</f>
        <v>35678.910544727638</v>
      </c>
      <c r="BG24" s="339">
        <f t="shared" si="59"/>
        <v>105.81875773267977</v>
      </c>
      <c r="BH24" s="340">
        <f>ABS(BG24-BH5)</f>
        <v>5.8187577326797708</v>
      </c>
      <c r="BI24" s="319"/>
      <c r="BJ24" s="331"/>
      <c r="BK24" s="341">
        <f>SUM(BK7:BK23)</f>
        <v>229</v>
      </c>
      <c r="BL24" s="327">
        <f>SUM(BL7:BL23)</f>
        <v>153.1</v>
      </c>
      <c r="BM24" s="327">
        <f>BK24/BL24*100</f>
        <v>149.57544088830829</v>
      </c>
      <c r="BN24" s="327"/>
      <c r="BO24" s="342"/>
      <c r="BP24" s="341">
        <f>SUM(BP7:BP23)</f>
        <v>241</v>
      </c>
      <c r="BQ24" s="327">
        <f>SUM(BQ7:BQ23)</f>
        <v>1010</v>
      </c>
      <c r="BR24" s="323">
        <f t="shared" si="17"/>
        <v>23.861386138613859</v>
      </c>
      <c r="BS24" s="327"/>
      <c r="BT24" s="342"/>
      <c r="BU24" s="341">
        <f>SUM(BU7:BU23)</f>
        <v>67</v>
      </c>
      <c r="BV24" s="327">
        <f>SUM(BV7:BV23)</f>
        <v>74</v>
      </c>
      <c r="BW24" s="323">
        <f t="shared" si="19"/>
        <v>90.540540540540533</v>
      </c>
      <c r="BX24" s="323"/>
      <c r="BY24" s="324"/>
      <c r="BZ24" s="343"/>
      <c r="CA24" s="334"/>
      <c r="CB24" s="335"/>
      <c r="CC24" s="344">
        <f>SUM(CC7:CC23)</f>
        <v>0</v>
      </c>
      <c r="CD24" s="345">
        <f>SUM(CD7:CD23)</f>
        <v>0</v>
      </c>
      <c r="CE24" s="319"/>
      <c r="CF24" s="319"/>
      <c r="CG24" s="331"/>
      <c r="CH24" s="346">
        <f>SUM(CH7:CH23)</f>
        <v>9.7210000000000001</v>
      </c>
      <c r="CI24" s="319"/>
      <c r="CJ24" s="331"/>
      <c r="CK24" s="347"/>
      <c r="CL24" s="323"/>
      <c r="CM24" s="324"/>
      <c r="CN24" s="341">
        <f>SUM(CN7:CN23)</f>
        <v>227</v>
      </c>
      <c r="CO24" s="323"/>
      <c r="CP24" s="324"/>
      <c r="CQ24" s="343"/>
      <c r="CR24" s="334"/>
      <c r="CS24" s="335"/>
      <c r="CT24" s="348">
        <v>3</v>
      </c>
      <c r="CU24" s="349">
        <f>CT24/AV24*100</f>
        <v>2.5783606782807493E-3</v>
      </c>
      <c r="CV24" s="349"/>
      <c r="CW24" s="350"/>
      <c r="CX24" s="341"/>
      <c r="CY24" s="323"/>
      <c r="CZ24" s="324"/>
      <c r="DA24" s="341">
        <f>SUM(DA7:DA23)</f>
        <v>925</v>
      </c>
      <c r="DB24" s="341">
        <f>SUM(DB7:DB23)</f>
        <v>884</v>
      </c>
      <c r="DC24" s="327">
        <f t="shared" si="25"/>
        <v>95.567567567567565</v>
      </c>
      <c r="DD24" s="323"/>
      <c r="DE24" s="324"/>
      <c r="DF24" s="336">
        <f>SUM(DF7:DF23)</f>
        <v>5418</v>
      </c>
      <c r="DG24" s="336">
        <f>SUM(DG7:DG23)</f>
        <v>2735</v>
      </c>
      <c r="DH24" s="323"/>
      <c r="DI24" s="323"/>
      <c r="DJ24" s="323"/>
      <c r="DK24" s="324"/>
      <c r="DL24" s="343">
        <f>SUM(DL7:DL23)</f>
        <v>34</v>
      </c>
      <c r="DM24" s="343">
        <f>SUM(DM7:DM23)</f>
        <v>34</v>
      </c>
      <c r="DN24" s="323"/>
      <c r="DO24" s="323"/>
      <c r="DP24" s="324"/>
      <c r="DQ24" s="351"/>
      <c r="DR24" s="334"/>
      <c r="DS24" s="335"/>
      <c r="DT24" s="341">
        <f>SUM(DT7:DT23)</f>
        <v>800</v>
      </c>
      <c r="DU24" s="327">
        <f>SUM(DU7:DU23)</f>
        <v>970</v>
      </c>
      <c r="DV24" s="352">
        <f>DT24/DU24*100</f>
        <v>82.474226804123703</v>
      </c>
      <c r="DW24" s="353"/>
      <c r="DX24" s="331"/>
      <c r="DY24" s="354">
        <f>SUM(DY7:DY23)/17</f>
        <v>44.400000000000006</v>
      </c>
      <c r="DZ24" s="327"/>
      <c r="EA24" s="328"/>
      <c r="EB24" s="341">
        <v>26</v>
      </c>
      <c r="EC24" s="323">
        <v>100</v>
      </c>
      <c r="ED24" s="323"/>
      <c r="EE24" s="324"/>
      <c r="EF24" s="343">
        <f>SUM(EF7:EF23)/17</f>
        <v>1</v>
      </c>
      <c r="EG24" s="323"/>
      <c r="EH24" s="324"/>
      <c r="EI24" s="343">
        <v>1</v>
      </c>
      <c r="EJ24" s="323"/>
      <c r="EK24" s="324"/>
      <c r="EL24" s="341">
        <f>SUM(EL7:EL23)</f>
        <v>1</v>
      </c>
      <c r="EM24" s="323"/>
      <c r="EN24" s="324"/>
      <c r="EO24" s="341">
        <f>SUM(EO7:EO23)</f>
        <v>71</v>
      </c>
      <c r="EP24" s="327">
        <f>SUM(EP7:EP23)</f>
        <v>243</v>
      </c>
      <c r="EQ24" s="323">
        <f t="shared" si="34"/>
        <v>29.218106995884774</v>
      </c>
      <c r="ER24" s="323"/>
      <c r="ES24" s="324"/>
      <c r="ET24" s="343"/>
      <c r="EU24" s="323"/>
      <c r="EV24" s="323"/>
      <c r="EW24" s="323"/>
      <c r="EX24" s="324"/>
      <c r="EY24" s="341">
        <f>SUM(EY7:EY23)</f>
        <v>78</v>
      </c>
      <c r="EZ24" s="341"/>
      <c r="FA24" s="323"/>
      <c r="FB24" s="324"/>
      <c r="FC24" s="341">
        <f>SUM(FC7:FC23)</f>
        <v>46</v>
      </c>
      <c r="FD24" s="323"/>
      <c r="FE24" s="323"/>
      <c r="FF24" s="324"/>
      <c r="FG24" s="343"/>
      <c r="FH24" s="323"/>
      <c r="FI24" s="355"/>
      <c r="FJ24" s="343"/>
      <c r="FK24" s="323"/>
      <c r="FL24" s="324"/>
      <c r="FM24" s="343"/>
      <c r="FN24" s="323"/>
      <c r="FO24" s="324"/>
      <c r="FP24" s="343">
        <f>SUM(FP7:FP23)</f>
        <v>10.699999999999998</v>
      </c>
      <c r="FQ24" s="323"/>
      <c r="FR24" s="323"/>
      <c r="FS24" s="323"/>
      <c r="FT24" s="345"/>
      <c r="FU24" s="345"/>
      <c r="FV24" s="338">
        <f>SUM(FV7:FV23)</f>
        <v>675</v>
      </c>
      <c r="FW24" s="338">
        <f>SUM(FW7:FW23)</f>
        <v>675</v>
      </c>
      <c r="FX24" s="356">
        <v>100</v>
      </c>
      <c r="FY24" s="357"/>
      <c r="FZ24" s="358"/>
      <c r="GA24" s="343">
        <f>SUM(GA7:GA23)</f>
        <v>270.34849453609212</v>
      </c>
      <c r="GB24" s="323">
        <f>SUM(GB7:GB23)</f>
        <v>209.40638013774955</v>
      </c>
      <c r="GC24" s="323">
        <f t="shared" si="86"/>
        <v>77.457942015576236</v>
      </c>
      <c r="GD24" s="323"/>
      <c r="GE24" s="324"/>
      <c r="GF24" s="359">
        <f>SUM(GF7:GF23)</f>
        <v>704</v>
      </c>
      <c r="GG24" s="360">
        <f>SUM(GG7:GG23)</f>
        <v>704</v>
      </c>
      <c r="GH24" s="323">
        <f t="shared" si="43"/>
        <v>100</v>
      </c>
      <c r="GI24" s="323"/>
      <c r="GJ24" s="355"/>
      <c r="GK24" s="341">
        <f>SUM(GK7:GK23)</f>
        <v>415</v>
      </c>
      <c r="GL24" s="361"/>
      <c r="GM24" s="327"/>
      <c r="GN24" s="324"/>
      <c r="GO24" s="341">
        <f>SUM(GO7:GO23)</f>
        <v>15</v>
      </c>
      <c r="GP24" s="323">
        <f t="shared" si="44"/>
        <v>0.12891803391403747</v>
      </c>
      <c r="GQ24" s="323"/>
      <c r="GR24" s="355"/>
      <c r="GS24" s="343"/>
      <c r="GT24" s="362"/>
      <c r="GU24" s="363"/>
      <c r="GV24" s="315"/>
      <c r="GW24" s="364"/>
      <c r="GX24" s="365"/>
    </row>
    <row r="25" spans="1:206" s="1" customFormat="1" ht="12.75" x14ac:dyDescent="0.2">
      <c r="A25" s="16"/>
      <c r="B25" s="366"/>
      <c r="C25" s="367"/>
      <c r="D25" s="367"/>
      <c r="E25" s="368"/>
      <c r="F25" s="368"/>
      <c r="G25" s="369"/>
      <c r="H25" s="370"/>
      <c r="I25" s="370"/>
      <c r="J25" s="371"/>
      <c r="K25" s="371"/>
      <c r="L25" s="371"/>
      <c r="M25" s="371"/>
      <c r="N25" s="370"/>
      <c r="O25" s="372"/>
      <c r="P25" s="373"/>
      <c r="Q25" s="371"/>
      <c r="R25" s="371"/>
      <c r="S25" s="370"/>
      <c r="T25" s="370"/>
      <c r="U25" s="371"/>
      <c r="V25" s="371"/>
      <c r="W25" s="371"/>
      <c r="X25" s="370"/>
      <c r="Y25" s="370"/>
      <c r="Z25" s="371"/>
      <c r="AA25" s="374"/>
      <c r="AB25" s="375"/>
      <c r="AC25" s="376"/>
      <c r="AD25" s="376"/>
      <c r="AE25" s="368"/>
      <c r="AF25" s="368"/>
      <c r="AG25" s="368"/>
      <c r="AH25" s="377"/>
      <c r="AI25" s="367"/>
      <c r="AJ25" s="378"/>
      <c r="AK25" s="377"/>
      <c r="AL25" s="377"/>
      <c r="AM25" s="377"/>
      <c r="AN25" s="367"/>
      <c r="AO25" s="377"/>
      <c r="AP25" s="377"/>
      <c r="AQ25" s="377"/>
      <c r="AR25" s="377"/>
      <c r="AS25" s="377"/>
      <c r="AT25" s="377"/>
      <c r="AU25" s="372"/>
      <c r="AV25" s="372"/>
      <c r="AW25" s="371"/>
      <c r="AX25" s="371"/>
      <c r="AY25" s="371"/>
      <c r="AZ25" s="379"/>
      <c r="BA25" s="379"/>
      <c r="BB25" s="368"/>
      <c r="BC25" s="368"/>
      <c r="BD25" s="367"/>
      <c r="BE25" s="368"/>
      <c r="BF25" s="367"/>
      <c r="BG25" s="380"/>
      <c r="BH25" s="381"/>
      <c r="BI25" s="368"/>
      <c r="BJ25" s="368"/>
      <c r="BK25" s="374"/>
      <c r="BL25" s="374"/>
      <c r="BM25" s="374"/>
      <c r="BN25" s="374"/>
      <c r="BO25" s="374"/>
      <c r="BP25" s="374"/>
      <c r="BQ25" s="374"/>
      <c r="BR25" s="371"/>
      <c r="BS25" s="374"/>
      <c r="BT25" s="374"/>
      <c r="BU25" s="374"/>
      <c r="BV25" s="374"/>
      <c r="BW25" s="371"/>
      <c r="BX25" s="371"/>
      <c r="BY25" s="371"/>
      <c r="BZ25" s="371"/>
      <c r="CA25" s="377"/>
      <c r="CB25" s="377"/>
      <c r="CC25" s="382"/>
      <c r="CD25" s="382"/>
      <c r="CE25" s="368"/>
      <c r="CF25" s="368"/>
      <c r="CG25" s="368"/>
      <c r="CH25" s="368"/>
      <c r="CI25" s="368"/>
      <c r="CJ25" s="368"/>
      <c r="CK25" s="383"/>
      <c r="CL25" s="371"/>
      <c r="CM25" s="371"/>
      <c r="CN25" s="373"/>
      <c r="CO25" s="371"/>
      <c r="CP25" s="371"/>
      <c r="CQ25" s="371"/>
      <c r="CR25" s="377"/>
      <c r="CS25" s="377"/>
      <c r="CT25" s="384"/>
      <c r="CU25" s="385"/>
      <c r="CV25" s="385"/>
      <c r="CW25" s="385"/>
      <c r="CX25" s="374"/>
      <c r="CY25" s="371"/>
      <c r="CZ25" s="371"/>
      <c r="DA25" s="371"/>
      <c r="DB25" s="371"/>
      <c r="DC25" s="374"/>
      <c r="DD25" s="371"/>
      <c r="DE25" s="371"/>
      <c r="DF25" s="371"/>
      <c r="DG25" s="371"/>
      <c r="DH25" s="371"/>
      <c r="DI25" s="371"/>
      <c r="DJ25" s="371"/>
      <c r="DK25" s="371"/>
      <c r="DL25" s="371"/>
      <c r="DM25" s="371"/>
      <c r="DN25" s="371"/>
      <c r="DO25" s="371"/>
      <c r="DP25" s="371"/>
      <c r="DQ25" s="371"/>
      <c r="DR25" s="377"/>
      <c r="DS25" s="377"/>
      <c r="DT25" s="374"/>
      <c r="DU25" s="374"/>
      <c r="DV25" s="386"/>
      <c r="DW25" s="16"/>
      <c r="DX25" s="368"/>
      <c r="DY25" s="387"/>
      <c r="DZ25" s="374"/>
      <c r="EA25" s="375"/>
      <c r="EB25" s="374"/>
      <c r="EC25" s="371"/>
      <c r="ED25" s="371"/>
      <c r="EE25" s="371"/>
      <c r="EF25" s="371"/>
      <c r="EG25" s="371"/>
      <c r="EH25" s="371"/>
      <c r="EI25" s="371"/>
      <c r="EJ25" s="371"/>
      <c r="EK25" s="371"/>
      <c r="EL25" s="374"/>
      <c r="EM25" s="371"/>
      <c r="EN25" s="371"/>
      <c r="EO25" s="374"/>
      <c r="EP25" s="374"/>
      <c r="EQ25" s="371"/>
      <c r="ER25" s="371"/>
      <c r="ES25" s="371"/>
      <c r="ET25" s="371"/>
      <c r="EU25" s="371"/>
      <c r="EV25" s="371"/>
      <c r="EW25" s="371"/>
      <c r="EX25" s="371"/>
      <c r="EY25" s="374"/>
      <c r="EZ25" s="374"/>
      <c r="FA25" s="371"/>
      <c r="FB25" s="371"/>
      <c r="FC25" s="374"/>
      <c r="FD25" s="371"/>
      <c r="FE25" s="371"/>
      <c r="FF25" s="371"/>
      <c r="FG25" s="371"/>
      <c r="FH25" s="371"/>
      <c r="FI25" s="371"/>
      <c r="FJ25" s="371"/>
      <c r="FK25" s="371"/>
      <c r="FL25" s="371"/>
      <c r="FM25" s="371"/>
      <c r="FN25" s="371"/>
      <c r="FO25" s="371"/>
      <c r="FP25" s="371"/>
      <c r="FQ25" s="371"/>
      <c r="FR25" s="371"/>
      <c r="FS25" s="371"/>
      <c r="FT25" s="382"/>
      <c r="FU25" s="382"/>
      <c r="FV25" s="379"/>
      <c r="FW25" s="379"/>
      <c r="FX25" s="388"/>
      <c r="FY25" s="389"/>
      <c r="FZ25" s="389"/>
      <c r="GA25" s="371"/>
      <c r="GB25" s="371"/>
      <c r="GC25" s="371"/>
      <c r="GD25" s="371"/>
      <c r="GE25" s="371"/>
      <c r="GF25" s="390"/>
      <c r="GG25" s="390"/>
      <c r="GH25" s="371"/>
      <c r="GI25" s="371"/>
      <c r="GJ25" s="371"/>
      <c r="GK25" s="374"/>
      <c r="GL25" s="374"/>
      <c r="GM25" s="374"/>
      <c r="GN25" s="371"/>
      <c r="GO25" s="374"/>
      <c r="GP25" s="371"/>
      <c r="GQ25" s="371"/>
      <c r="GR25" s="371"/>
      <c r="GS25" s="371"/>
      <c r="GT25" s="366"/>
      <c r="GU25" s="366"/>
      <c r="GV25" s="16"/>
      <c r="GW25" s="16"/>
      <c r="GX25" s="366"/>
    </row>
    <row r="26" spans="1:206" ht="13.5" customHeight="1" x14ac:dyDescent="0.2">
      <c r="C26" s="391" t="s">
        <v>184</v>
      </c>
      <c r="AS26" s="11"/>
      <c r="AT26" s="8"/>
      <c r="AU26" s="1"/>
      <c r="AV26" s="1"/>
      <c r="BK26" s="395"/>
      <c r="BL26" s="395"/>
      <c r="BM26" s="395"/>
      <c r="BN26" s="395"/>
    </row>
    <row r="27" spans="1:206" x14ac:dyDescent="0.2">
      <c r="C27" s="391" t="s">
        <v>185</v>
      </c>
      <c r="AS27" s="11"/>
      <c r="AT27" s="8"/>
      <c r="AU27" s="1"/>
      <c r="AV27" s="1"/>
      <c r="CK27" s="396"/>
    </row>
    <row r="28" spans="1:206" ht="15" x14ac:dyDescent="0.25">
      <c r="AH28" s="397"/>
      <c r="AI28" s="398"/>
      <c r="AJ28" s="398"/>
      <c r="AK28" s="398"/>
      <c r="AL28" s="399"/>
      <c r="AM28" s="399"/>
      <c r="AN28" s="399"/>
      <c r="AO28" s="399"/>
      <c r="AP28" s="400"/>
      <c r="AQ28" s="399"/>
      <c r="AR28" s="399"/>
      <c r="AS28" s="11"/>
      <c r="AT28" s="8"/>
      <c r="AU28" s="1"/>
      <c r="AV28" s="1"/>
    </row>
    <row r="29" spans="1:206" x14ac:dyDescent="0.2">
      <c r="AS29" s="11"/>
      <c r="AT29" s="8"/>
      <c r="AU29" s="1"/>
      <c r="AV29" s="1"/>
    </row>
    <row r="30" spans="1:206" x14ac:dyDescent="0.2">
      <c r="AS30" s="11"/>
      <c r="AT30" s="8"/>
      <c r="AU30" s="1"/>
      <c r="AV30" s="1"/>
    </row>
    <row r="31" spans="1:206" x14ac:dyDescent="0.2">
      <c r="F31" s="391"/>
      <c r="L31" s="391"/>
      <c r="Q31" s="391"/>
      <c r="V31" s="391"/>
      <c r="AA31" s="391"/>
      <c r="AF31" s="391"/>
      <c r="AK31" s="391"/>
      <c r="AP31" s="391"/>
      <c r="AS31" s="11"/>
      <c r="AT31" s="8"/>
      <c r="AU31" s="1"/>
      <c r="AV31" s="1"/>
      <c r="AX31" s="391"/>
      <c r="BB31" s="391"/>
      <c r="BI31" s="391"/>
      <c r="BJ31" s="391"/>
      <c r="BN31" s="391"/>
      <c r="BS31" s="391"/>
      <c r="BX31" s="391"/>
      <c r="CA31" s="391"/>
      <c r="CB31" s="391"/>
      <c r="CF31" s="391"/>
      <c r="CI31" s="391"/>
      <c r="CL31" s="391"/>
      <c r="CO31" s="391"/>
      <c r="CQ31" s="391"/>
      <c r="CR31" s="391"/>
      <c r="CS31" s="391"/>
      <c r="CV31" s="391"/>
      <c r="CY31" s="391"/>
      <c r="CZ31" s="391"/>
      <c r="DA31" s="391"/>
      <c r="DB31" s="391"/>
      <c r="DC31" s="391"/>
      <c r="DD31" s="391"/>
      <c r="DE31" s="391"/>
      <c r="DF31" s="391"/>
      <c r="DG31" s="391"/>
      <c r="DH31" s="391"/>
      <c r="DI31" s="391"/>
      <c r="DJ31" s="391"/>
      <c r="DK31" s="391"/>
      <c r="DL31" s="391"/>
      <c r="DM31" s="391"/>
      <c r="DN31" s="391"/>
      <c r="DO31" s="391"/>
      <c r="DP31" s="391"/>
      <c r="DQ31" s="391"/>
      <c r="DR31" s="391"/>
      <c r="DS31" s="391"/>
      <c r="DW31" s="391"/>
      <c r="DX31" s="391"/>
      <c r="EM31" s="391"/>
      <c r="EN31" s="391"/>
      <c r="ET31" s="391"/>
      <c r="EU31" s="391"/>
      <c r="EV31" s="391"/>
      <c r="EW31" s="391"/>
      <c r="EX31" s="391"/>
      <c r="FA31" s="391"/>
      <c r="FB31" s="391"/>
      <c r="FC31" s="391"/>
      <c r="FD31" s="391"/>
      <c r="FE31" s="391"/>
      <c r="FF31" s="391"/>
      <c r="FG31" s="391"/>
      <c r="FH31" s="391"/>
      <c r="FI31" s="391"/>
      <c r="FJ31" s="391"/>
      <c r="FK31" s="391"/>
      <c r="FL31" s="391"/>
      <c r="FM31" s="391"/>
      <c r="FN31" s="391"/>
      <c r="FO31" s="391"/>
      <c r="FP31" s="391"/>
      <c r="FQ31" s="391"/>
      <c r="FR31" s="391"/>
      <c r="FS31" s="391"/>
      <c r="FU31" s="391"/>
      <c r="GU31" s="391"/>
      <c r="GV31" s="391"/>
      <c r="GW31" s="391"/>
    </row>
    <row r="32" spans="1:206" x14ac:dyDescent="0.2">
      <c r="F32" s="391"/>
      <c r="L32" s="391"/>
      <c r="Q32" s="391"/>
      <c r="V32" s="391"/>
      <c r="AA32" s="391"/>
      <c r="AF32" s="391"/>
      <c r="AK32" s="391"/>
      <c r="AP32" s="391"/>
      <c r="AS32" s="11"/>
      <c r="AT32" s="8"/>
      <c r="AU32" s="1"/>
      <c r="AV32" s="1"/>
      <c r="AX32" s="391"/>
      <c r="BB32" s="391"/>
      <c r="BI32" s="391"/>
      <c r="BJ32" s="391"/>
      <c r="BN32" s="391"/>
      <c r="BS32" s="391"/>
      <c r="BX32" s="391"/>
      <c r="CA32" s="391"/>
      <c r="CB32" s="391"/>
      <c r="CF32" s="391"/>
      <c r="CI32" s="391"/>
      <c r="CL32" s="391"/>
      <c r="CO32" s="391"/>
      <c r="CQ32" s="391"/>
      <c r="CR32" s="391"/>
      <c r="CS32" s="391"/>
      <c r="CV32" s="391"/>
      <c r="CY32" s="391"/>
      <c r="CZ32" s="391"/>
      <c r="DA32" s="391"/>
      <c r="DB32" s="391"/>
      <c r="DC32" s="391"/>
      <c r="DD32" s="391"/>
      <c r="DE32" s="391"/>
      <c r="DF32" s="391"/>
      <c r="DG32" s="391"/>
      <c r="DH32" s="391"/>
      <c r="DI32" s="391"/>
      <c r="DJ32" s="391"/>
      <c r="DK32" s="391"/>
      <c r="DL32" s="391"/>
      <c r="DM32" s="391"/>
      <c r="DN32" s="391"/>
      <c r="DO32" s="391"/>
      <c r="DP32" s="391"/>
      <c r="DQ32" s="391"/>
      <c r="DR32" s="391"/>
      <c r="DS32" s="391"/>
      <c r="DW32" s="391"/>
      <c r="DX32" s="391"/>
      <c r="EM32" s="391"/>
      <c r="EN32" s="391"/>
      <c r="ET32" s="391"/>
      <c r="EU32" s="391"/>
      <c r="EV32" s="391"/>
      <c r="EW32" s="391"/>
      <c r="EX32" s="391"/>
      <c r="FA32" s="391"/>
      <c r="FB32" s="391"/>
      <c r="FC32" s="391"/>
      <c r="FD32" s="391"/>
      <c r="FE32" s="391"/>
      <c r="FF32" s="391"/>
      <c r="FG32" s="391"/>
      <c r="FH32" s="391"/>
      <c r="FI32" s="391"/>
      <c r="FJ32" s="391"/>
      <c r="FK32" s="391"/>
      <c r="FL32" s="391"/>
      <c r="FM32" s="391"/>
      <c r="FN32" s="391"/>
      <c r="FO32" s="391"/>
      <c r="FP32" s="391"/>
      <c r="FQ32" s="391"/>
      <c r="FR32" s="391"/>
      <c r="FS32" s="391"/>
      <c r="FU32" s="391"/>
      <c r="GU32" s="391"/>
      <c r="GV32" s="391"/>
      <c r="GW32" s="391"/>
    </row>
    <row r="33" spans="6:205" x14ac:dyDescent="0.2">
      <c r="F33" s="391"/>
      <c r="L33" s="391"/>
      <c r="Q33" s="391"/>
      <c r="V33" s="391"/>
      <c r="AA33" s="391"/>
      <c r="AF33" s="391"/>
      <c r="AK33" s="391"/>
      <c r="AP33" s="391"/>
      <c r="AS33" s="11"/>
      <c r="AT33" s="8"/>
      <c r="AU33" s="1"/>
      <c r="AV33" s="1"/>
      <c r="AX33" s="391"/>
      <c r="BB33" s="391"/>
      <c r="BI33" s="391"/>
      <c r="BJ33" s="391"/>
      <c r="BN33" s="391"/>
      <c r="BS33" s="391"/>
      <c r="BX33" s="391"/>
      <c r="CA33" s="391"/>
      <c r="CB33" s="391"/>
      <c r="CF33" s="391"/>
      <c r="CI33" s="391"/>
      <c r="CL33" s="391"/>
      <c r="CO33" s="391"/>
      <c r="CQ33" s="391"/>
      <c r="CR33" s="391"/>
      <c r="CS33" s="391"/>
      <c r="CV33" s="391"/>
      <c r="CY33" s="391"/>
      <c r="CZ33" s="391"/>
      <c r="DA33" s="391"/>
      <c r="DB33" s="391"/>
      <c r="DC33" s="391"/>
      <c r="DD33" s="391"/>
      <c r="DE33" s="391"/>
      <c r="DF33" s="391"/>
      <c r="DG33" s="391"/>
      <c r="DH33" s="391"/>
      <c r="DI33" s="391"/>
      <c r="DJ33" s="391"/>
      <c r="DK33" s="391"/>
      <c r="DL33" s="391"/>
      <c r="DM33" s="391"/>
      <c r="DN33" s="391"/>
      <c r="DO33" s="391"/>
      <c r="DP33" s="391"/>
      <c r="DQ33" s="391"/>
      <c r="DR33" s="391"/>
      <c r="DS33" s="391"/>
      <c r="DW33" s="391"/>
      <c r="DX33" s="391"/>
      <c r="EM33" s="391"/>
      <c r="EN33" s="391"/>
      <c r="ET33" s="391"/>
      <c r="EU33" s="391"/>
      <c r="EV33" s="391"/>
      <c r="EW33" s="391"/>
      <c r="EX33" s="391"/>
      <c r="FA33" s="391"/>
      <c r="FB33" s="391"/>
      <c r="FC33" s="391"/>
      <c r="FD33" s="391"/>
      <c r="FE33" s="391"/>
      <c r="FF33" s="391"/>
      <c r="FG33" s="391"/>
      <c r="FH33" s="391"/>
      <c r="FI33" s="391"/>
      <c r="FJ33" s="391"/>
      <c r="FK33" s="391"/>
      <c r="FL33" s="391"/>
      <c r="FM33" s="391"/>
      <c r="FN33" s="391"/>
      <c r="FO33" s="391"/>
      <c r="FP33" s="391"/>
      <c r="FQ33" s="391"/>
      <c r="FR33" s="391"/>
      <c r="FS33" s="391"/>
      <c r="FU33" s="391"/>
      <c r="GU33" s="391"/>
      <c r="GV33" s="391"/>
      <c r="GW33" s="391"/>
    </row>
    <row r="34" spans="6:205" x14ac:dyDescent="0.2">
      <c r="F34" s="391"/>
      <c r="L34" s="391"/>
      <c r="Q34" s="391"/>
      <c r="V34" s="391"/>
      <c r="AA34" s="391"/>
      <c r="AF34" s="391"/>
      <c r="AK34" s="391"/>
      <c r="AP34" s="391"/>
      <c r="AS34" s="11"/>
      <c r="AT34" s="8"/>
      <c r="AU34" s="1"/>
      <c r="AV34" s="1"/>
      <c r="AX34" s="391"/>
      <c r="BB34" s="391"/>
      <c r="BI34" s="391"/>
      <c r="BJ34" s="391"/>
      <c r="BN34" s="391"/>
      <c r="BS34" s="391"/>
      <c r="BX34" s="391"/>
      <c r="CA34" s="391"/>
      <c r="CB34" s="391"/>
      <c r="CF34" s="391"/>
      <c r="CI34" s="391"/>
      <c r="CL34" s="391"/>
      <c r="CO34" s="391"/>
      <c r="CQ34" s="391"/>
      <c r="CR34" s="391"/>
      <c r="CS34" s="391"/>
      <c r="CV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W34" s="391"/>
      <c r="DX34" s="391"/>
      <c r="EM34" s="391"/>
      <c r="EN34" s="391"/>
      <c r="ET34" s="391"/>
      <c r="EU34" s="391"/>
      <c r="EV34" s="391"/>
      <c r="EW34" s="391"/>
      <c r="EX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U34" s="391"/>
      <c r="GU34" s="391"/>
      <c r="GV34" s="391"/>
      <c r="GW34" s="391"/>
    </row>
    <row r="35" spans="6:205" x14ac:dyDescent="0.2">
      <c r="F35" s="391"/>
      <c r="L35" s="391"/>
      <c r="Q35" s="391"/>
      <c r="V35" s="391"/>
      <c r="AA35" s="391"/>
      <c r="AF35" s="391"/>
      <c r="AK35" s="391"/>
      <c r="AP35" s="391"/>
      <c r="AS35" s="11"/>
      <c r="AT35" s="8"/>
      <c r="AU35" s="1"/>
      <c r="AV35" s="1"/>
      <c r="AX35" s="391"/>
      <c r="BB35" s="391"/>
      <c r="BI35" s="391"/>
      <c r="BJ35" s="391"/>
      <c r="BN35" s="391"/>
      <c r="BS35" s="391"/>
      <c r="BX35" s="391"/>
      <c r="CA35" s="391"/>
      <c r="CB35" s="391"/>
      <c r="CF35" s="391"/>
      <c r="CI35" s="391"/>
      <c r="CL35" s="391"/>
      <c r="CO35" s="391"/>
      <c r="CQ35" s="391"/>
      <c r="CR35" s="391"/>
      <c r="CS35" s="391"/>
      <c r="CV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W35" s="391"/>
      <c r="DX35" s="391"/>
      <c r="EM35" s="391"/>
      <c r="EN35" s="391"/>
      <c r="ET35" s="391"/>
      <c r="EU35" s="391"/>
      <c r="EV35" s="391"/>
      <c r="EW35" s="391"/>
      <c r="EX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U35" s="391"/>
      <c r="GU35" s="391"/>
      <c r="GV35" s="391"/>
      <c r="GW35" s="391"/>
    </row>
    <row r="36" spans="6:205" x14ac:dyDescent="0.2">
      <c r="F36" s="391"/>
      <c r="L36" s="391"/>
      <c r="Q36" s="391"/>
      <c r="V36" s="391"/>
      <c r="AA36" s="391"/>
      <c r="AF36" s="391"/>
      <c r="AK36" s="391"/>
      <c r="AP36" s="391"/>
      <c r="AS36" s="11"/>
      <c r="AT36" s="8"/>
      <c r="AU36" s="1"/>
      <c r="AV36" s="1"/>
      <c r="AX36" s="391"/>
      <c r="BB36" s="391"/>
      <c r="BI36" s="391"/>
      <c r="BJ36" s="391"/>
      <c r="BN36" s="391"/>
      <c r="BS36" s="391"/>
      <c r="BX36" s="391"/>
      <c r="CA36" s="391"/>
      <c r="CB36" s="391"/>
      <c r="CF36" s="391"/>
      <c r="CI36" s="391"/>
      <c r="CL36" s="391"/>
      <c r="CO36" s="391"/>
      <c r="CQ36" s="391"/>
      <c r="CR36" s="391"/>
      <c r="CS36" s="391"/>
      <c r="CV36" s="391"/>
      <c r="CY36" s="391"/>
      <c r="CZ36" s="391"/>
      <c r="DA36" s="391"/>
      <c r="DB36" s="391"/>
      <c r="DC36" s="391"/>
      <c r="DD36" s="391"/>
      <c r="DE36" s="391"/>
      <c r="DF36" s="391"/>
      <c r="DG36" s="391"/>
      <c r="DH36" s="391"/>
      <c r="DI36" s="391"/>
      <c r="DJ36" s="391"/>
      <c r="DK36" s="391"/>
      <c r="DL36" s="391"/>
      <c r="DM36" s="391"/>
      <c r="DN36" s="391"/>
      <c r="DO36" s="391"/>
      <c r="DP36" s="391"/>
      <c r="DQ36" s="391"/>
      <c r="DR36" s="391"/>
      <c r="DS36" s="391"/>
      <c r="DW36" s="391"/>
      <c r="DX36" s="391"/>
      <c r="EM36" s="391"/>
      <c r="EN36" s="391"/>
      <c r="ET36" s="391"/>
      <c r="EU36" s="391"/>
      <c r="EV36" s="391"/>
      <c r="EW36" s="391"/>
      <c r="EX36" s="391"/>
      <c r="FA36" s="391"/>
      <c r="FB36" s="391"/>
      <c r="FC36" s="391"/>
      <c r="FD36" s="391"/>
      <c r="FE36" s="391"/>
      <c r="FF36" s="391"/>
      <c r="FG36" s="391"/>
      <c r="FH36" s="391"/>
      <c r="FI36" s="391"/>
      <c r="FJ36" s="391"/>
      <c r="FK36" s="391"/>
      <c r="FL36" s="391"/>
      <c r="FM36" s="391"/>
      <c r="FN36" s="391"/>
      <c r="FO36" s="391"/>
      <c r="FP36" s="391"/>
      <c r="FQ36" s="391"/>
      <c r="FR36" s="391"/>
      <c r="FS36" s="391"/>
      <c r="FU36" s="391"/>
      <c r="GU36" s="391"/>
      <c r="GV36" s="391"/>
      <c r="GW36" s="391"/>
    </row>
    <row r="37" spans="6:205" x14ac:dyDescent="0.2">
      <c r="F37" s="391"/>
      <c r="L37" s="391"/>
      <c r="Q37" s="391"/>
      <c r="V37" s="391"/>
      <c r="AA37" s="391"/>
      <c r="AF37" s="391"/>
      <c r="AK37" s="391"/>
      <c r="AP37" s="391"/>
      <c r="AS37" s="11"/>
      <c r="AT37" s="8"/>
      <c r="AU37" s="1"/>
      <c r="AV37" s="1"/>
      <c r="AX37" s="391"/>
      <c r="BB37" s="391"/>
      <c r="BI37" s="391"/>
      <c r="BJ37" s="391"/>
      <c r="BN37" s="391"/>
      <c r="BS37" s="391"/>
      <c r="BX37" s="391"/>
      <c r="CA37" s="391"/>
      <c r="CB37" s="391"/>
      <c r="CF37" s="391"/>
      <c r="CI37" s="391"/>
      <c r="CL37" s="391"/>
      <c r="CO37" s="391"/>
      <c r="CQ37" s="391"/>
      <c r="CR37" s="391"/>
      <c r="CS37" s="391"/>
      <c r="CV37" s="391"/>
      <c r="CY37" s="391"/>
      <c r="CZ37" s="391"/>
      <c r="DA37" s="391"/>
      <c r="DB37" s="391"/>
      <c r="DC37" s="391"/>
      <c r="DD37" s="391"/>
      <c r="DE37" s="391"/>
      <c r="DF37" s="391"/>
      <c r="DG37" s="391"/>
      <c r="DH37" s="391"/>
      <c r="DI37" s="391"/>
      <c r="DJ37" s="391"/>
      <c r="DK37" s="391"/>
      <c r="DL37" s="391"/>
      <c r="DM37" s="391"/>
      <c r="DN37" s="391"/>
      <c r="DO37" s="391"/>
      <c r="DP37" s="391"/>
      <c r="DQ37" s="391"/>
      <c r="DR37" s="391"/>
      <c r="DS37" s="391"/>
      <c r="DW37" s="391"/>
      <c r="DX37" s="391"/>
      <c r="EM37" s="391"/>
      <c r="EN37" s="391"/>
      <c r="ET37" s="391"/>
      <c r="EU37" s="391"/>
      <c r="EV37" s="391"/>
      <c r="EW37" s="391"/>
      <c r="EX37" s="391"/>
      <c r="FA37" s="391"/>
      <c r="FB37" s="391"/>
      <c r="FC37" s="391"/>
      <c r="FD37" s="391"/>
      <c r="FE37" s="391"/>
      <c r="FF37" s="391"/>
      <c r="FG37" s="391"/>
      <c r="FH37" s="391"/>
      <c r="FI37" s="391"/>
      <c r="FJ37" s="391"/>
      <c r="FK37" s="391"/>
      <c r="FL37" s="391"/>
      <c r="FM37" s="391"/>
      <c r="FN37" s="391"/>
      <c r="FO37" s="391"/>
      <c r="FP37" s="391"/>
      <c r="FQ37" s="391"/>
      <c r="FR37" s="391"/>
      <c r="FS37" s="391"/>
      <c r="FU37" s="391"/>
      <c r="GU37" s="391"/>
      <c r="GV37" s="391"/>
      <c r="GW37" s="391"/>
    </row>
    <row r="38" spans="6:205" ht="12.75" customHeight="1" x14ac:dyDescent="0.2">
      <c r="F38" s="391"/>
      <c r="L38" s="391"/>
      <c r="Q38" s="391"/>
      <c r="V38" s="391"/>
      <c r="AA38" s="391"/>
      <c r="AF38" s="391"/>
      <c r="AK38" s="391"/>
      <c r="AP38" s="391"/>
      <c r="AS38" s="11"/>
      <c r="AT38" s="8"/>
      <c r="AU38" s="1"/>
      <c r="AV38" s="1"/>
      <c r="AX38" s="391"/>
      <c r="BB38" s="391"/>
      <c r="BI38" s="391"/>
      <c r="BJ38" s="391"/>
      <c r="BN38" s="391"/>
      <c r="BS38" s="391"/>
      <c r="BX38" s="391"/>
      <c r="CA38" s="391"/>
      <c r="CB38" s="391"/>
      <c r="CF38" s="391"/>
      <c r="CI38" s="391"/>
      <c r="CL38" s="391"/>
      <c r="CO38" s="391"/>
      <c r="CQ38" s="391"/>
      <c r="CR38" s="391"/>
      <c r="CS38" s="391"/>
      <c r="CV38" s="391"/>
      <c r="CY38" s="391"/>
      <c r="CZ38" s="391"/>
      <c r="DA38" s="391"/>
      <c r="DB38" s="391"/>
      <c r="DC38" s="391"/>
      <c r="DD38" s="391"/>
      <c r="DE38" s="391"/>
      <c r="DF38" s="391"/>
      <c r="DG38" s="391"/>
      <c r="DH38" s="391"/>
      <c r="DI38" s="391"/>
      <c r="DJ38" s="391"/>
      <c r="DK38" s="391"/>
      <c r="DL38" s="391"/>
      <c r="DM38" s="391"/>
      <c r="DN38" s="391"/>
      <c r="DO38" s="391"/>
      <c r="DP38" s="391"/>
      <c r="DQ38" s="391"/>
      <c r="DR38" s="391"/>
      <c r="DS38" s="391"/>
      <c r="DW38" s="391"/>
      <c r="DX38" s="391"/>
      <c r="EM38" s="391"/>
      <c r="EN38" s="391"/>
      <c r="ET38" s="391"/>
      <c r="EU38" s="391"/>
      <c r="EV38" s="391"/>
      <c r="EW38" s="391"/>
      <c r="EX38" s="391"/>
      <c r="FA38" s="391"/>
      <c r="FB38" s="391"/>
      <c r="FC38" s="391"/>
      <c r="FD38" s="391"/>
      <c r="FE38" s="391"/>
      <c r="FF38" s="391"/>
      <c r="FG38" s="391"/>
      <c r="FH38" s="391"/>
      <c r="FI38" s="391"/>
      <c r="FJ38" s="391"/>
      <c r="FK38" s="391"/>
      <c r="FL38" s="391"/>
      <c r="FM38" s="391"/>
      <c r="FN38" s="391"/>
      <c r="FO38" s="391"/>
      <c r="FP38" s="391"/>
      <c r="FQ38" s="391"/>
      <c r="FR38" s="391"/>
      <c r="FS38" s="391"/>
      <c r="FU38" s="391"/>
      <c r="GU38" s="391"/>
      <c r="GV38" s="391"/>
      <c r="GW38" s="391"/>
    </row>
    <row r="39" spans="6:205" x14ac:dyDescent="0.2">
      <c r="F39" s="391"/>
      <c r="L39" s="391"/>
      <c r="Q39" s="391"/>
      <c r="V39" s="391"/>
      <c r="AA39" s="391"/>
      <c r="AF39" s="391"/>
      <c r="AK39" s="391"/>
      <c r="AP39" s="391"/>
      <c r="AS39" s="11"/>
      <c r="AT39" s="8"/>
      <c r="AU39" s="1"/>
      <c r="AV39" s="1"/>
      <c r="AX39" s="391"/>
      <c r="BB39" s="391"/>
      <c r="BI39" s="391"/>
      <c r="BJ39" s="391"/>
      <c r="BN39" s="391"/>
      <c r="BS39" s="391"/>
      <c r="BX39" s="391"/>
      <c r="CA39" s="391"/>
      <c r="CB39" s="391"/>
      <c r="CF39" s="391"/>
      <c r="CI39" s="391"/>
      <c r="CL39" s="391"/>
      <c r="CO39" s="391"/>
      <c r="CQ39" s="391"/>
      <c r="CR39" s="391"/>
      <c r="CS39" s="391"/>
      <c r="CV39" s="391"/>
      <c r="CY39" s="391"/>
      <c r="CZ39" s="391"/>
      <c r="DA39" s="391"/>
      <c r="DB39" s="391"/>
      <c r="DC39" s="391"/>
      <c r="DD39" s="391"/>
      <c r="DE39" s="391"/>
      <c r="DF39" s="391"/>
      <c r="DG39" s="391"/>
      <c r="DH39" s="391"/>
      <c r="DI39" s="391"/>
      <c r="DJ39" s="391"/>
      <c r="DK39" s="391"/>
      <c r="DL39" s="391"/>
      <c r="DM39" s="391"/>
      <c r="DN39" s="391"/>
      <c r="DO39" s="391"/>
      <c r="DP39" s="391"/>
      <c r="DQ39" s="391"/>
      <c r="DR39" s="391"/>
      <c r="DS39" s="391"/>
      <c r="DW39" s="391"/>
      <c r="DX39" s="391"/>
      <c r="EM39" s="391"/>
      <c r="EN39" s="391"/>
      <c r="ET39" s="391"/>
      <c r="EU39" s="391"/>
      <c r="EV39" s="391"/>
      <c r="EW39" s="391"/>
      <c r="EX39" s="391"/>
      <c r="FA39" s="391"/>
      <c r="FB39" s="391"/>
      <c r="FC39" s="391"/>
      <c r="FD39" s="391"/>
      <c r="FE39" s="391"/>
      <c r="FF39" s="391"/>
      <c r="FG39" s="391"/>
      <c r="FH39" s="391"/>
      <c r="FI39" s="391"/>
      <c r="FJ39" s="391"/>
      <c r="FK39" s="391"/>
      <c r="FL39" s="391"/>
      <c r="FM39" s="391"/>
      <c r="FN39" s="391"/>
      <c r="FO39" s="391"/>
      <c r="FP39" s="391"/>
      <c r="FQ39" s="391"/>
      <c r="FR39" s="391"/>
      <c r="FS39" s="391"/>
      <c r="FU39" s="391"/>
      <c r="GU39" s="391"/>
      <c r="GV39" s="391"/>
      <c r="GW39" s="391"/>
    </row>
    <row r="40" spans="6:205" x14ac:dyDescent="0.2">
      <c r="F40" s="391"/>
      <c r="L40" s="391"/>
      <c r="Q40" s="391"/>
      <c r="V40" s="391"/>
      <c r="AA40" s="391"/>
      <c r="AF40" s="391"/>
      <c r="AK40" s="391"/>
      <c r="AP40" s="391"/>
      <c r="AS40" s="11"/>
      <c r="AT40" s="8"/>
      <c r="AU40" s="1"/>
      <c r="AV40" s="1"/>
      <c r="AX40" s="391"/>
      <c r="BB40" s="391"/>
      <c r="BI40" s="391"/>
      <c r="BJ40" s="391"/>
      <c r="BN40" s="391"/>
      <c r="BS40" s="391"/>
      <c r="BX40" s="391"/>
      <c r="CA40" s="391"/>
      <c r="CB40" s="391"/>
      <c r="CF40" s="391"/>
      <c r="CI40" s="391"/>
      <c r="CL40" s="391"/>
      <c r="CO40" s="391"/>
      <c r="CQ40" s="391"/>
      <c r="CR40" s="391"/>
      <c r="CS40" s="391"/>
      <c r="CV40" s="391"/>
      <c r="CY40" s="391"/>
      <c r="CZ40" s="391"/>
      <c r="DA40" s="391"/>
      <c r="DB40" s="391"/>
      <c r="DC40" s="391"/>
      <c r="DD40" s="391"/>
      <c r="DE40" s="391"/>
      <c r="DF40" s="391"/>
      <c r="DG40" s="391"/>
      <c r="DH40" s="391"/>
      <c r="DI40" s="391"/>
      <c r="DJ40" s="391"/>
      <c r="DK40" s="391"/>
      <c r="DL40" s="391"/>
      <c r="DM40" s="391"/>
      <c r="DN40" s="391"/>
      <c r="DO40" s="391"/>
      <c r="DP40" s="391"/>
      <c r="DQ40" s="391"/>
      <c r="DR40" s="391"/>
      <c r="DS40" s="391"/>
      <c r="DW40" s="391"/>
      <c r="DX40" s="391"/>
      <c r="EM40" s="391"/>
      <c r="EN40" s="391"/>
      <c r="ET40" s="391"/>
      <c r="EU40" s="391"/>
      <c r="EV40" s="391"/>
      <c r="EW40" s="391"/>
      <c r="EX40" s="391"/>
      <c r="FA40" s="391"/>
      <c r="FB40" s="391"/>
      <c r="FC40" s="391"/>
      <c r="FD40" s="391"/>
      <c r="FE40" s="391"/>
      <c r="FF40" s="391"/>
      <c r="FG40" s="391"/>
      <c r="FH40" s="391"/>
      <c r="FI40" s="391"/>
      <c r="FJ40" s="391"/>
      <c r="FK40" s="391"/>
      <c r="FL40" s="391"/>
      <c r="FM40" s="391"/>
      <c r="FN40" s="391"/>
      <c r="FO40" s="391"/>
      <c r="FP40" s="391"/>
      <c r="FQ40" s="391"/>
      <c r="FR40" s="391"/>
      <c r="FS40" s="391"/>
      <c r="FU40" s="391"/>
      <c r="GU40" s="391"/>
      <c r="GV40" s="391"/>
      <c r="GW40" s="391"/>
    </row>
    <row r="41" spans="6:205" x14ac:dyDescent="0.2">
      <c r="F41" s="391"/>
      <c r="L41" s="391"/>
      <c r="Q41" s="391"/>
      <c r="V41" s="391"/>
      <c r="AA41" s="391"/>
      <c r="AF41" s="391"/>
      <c r="AK41" s="391"/>
      <c r="AP41" s="391"/>
      <c r="AS41" s="11"/>
      <c r="AT41" s="8"/>
      <c r="AU41" s="1"/>
      <c r="AV41" s="1"/>
      <c r="AX41" s="391"/>
      <c r="BB41" s="391"/>
      <c r="BI41" s="391"/>
      <c r="BJ41" s="391"/>
      <c r="BN41" s="391"/>
      <c r="BS41" s="391"/>
      <c r="BX41" s="391"/>
      <c r="CA41" s="391"/>
      <c r="CB41" s="391"/>
      <c r="CF41" s="391"/>
      <c r="CI41" s="391"/>
      <c r="CL41" s="391"/>
      <c r="CO41" s="391"/>
      <c r="CQ41" s="391"/>
      <c r="CR41" s="391"/>
      <c r="CS41" s="391"/>
      <c r="CV41" s="391"/>
      <c r="CY41" s="391"/>
      <c r="CZ41" s="391"/>
      <c r="DA41" s="391"/>
      <c r="DB41" s="391"/>
      <c r="DC41" s="391"/>
      <c r="DD41" s="391"/>
      <c r="DE41" s="391"/>
      <c r="DF41" s="391"/>
      <c r="DG41" s="391"/>
      <c r="DH41" s="391"/>
      <c r="DI41" s="391"/>
      <c r="DJ41" s="391"/>
      <c r="DK41" s="391"/>
      <c r="DL41" s="391"/>
      <c r="DM41" s="391"/>
      <c r="DN41" s="391"/>
      <c r="DO41" s="391"/>
      <c r="DP41" s="391"/>
      <c r="DQ41" s="391"/>
      <c r="DR41" s="391"/>
      <c r="DS41" s="391"/>
      <c r="DW41" s="391"/>
      <c r="DX41" s="391"/>
      <c r="EM41" s="391"/>
      <c r="EN41" s="391"/>
      <c r="ET41" s="391"/>
      <c r="EU41" s="391"/>
      <c r="EV41" s="391"/>
      <c r="EW41" s="391"/>
      <c r="EX41" s="391"/>
      <c r="FA41" s="391"/>
      <c r="FB41" s="391"/>
      <c r="FC41" s="391"/>
      <c r="FD41" s="391"/>
      <c r="FE41" s="391"/>
      <c r="FF41" s="391"/>
      <c r="FG41" s="391"/>
      <c r="FH41" s="391"/>
      <c r="FI41" s="391"/>
      <c r="FJ41" s="391"/>
      <c r="FK41" s="391"/>
      <c r="FL41" s="391"/>
      <c r="FM41" s="391"/>
      <c r="FN41" s="391"/>
      <c r="FO41" s="391"/>
      <c r="FP41" s="391"/>
      <c r="FQ41" s="391"/>
      <c r="FR41" s="391"/>
      <c r="FS41" s="391"/>
      <c r="FU41" s="391"/>
      <c r="GU41" s="391"/>
      <c r="GV41" s="391"/>
      <c r="GW41" s="391"/>
    </row>
    <row r="42" spans="6:205" x14ac:dyDescent="0.2">
      <c r="F42" s="391"/>
      <c r="L42" s="391"/>
      <c r="Q42" s="391"/>
      <c r="V42" s="391"/>
      <c r="AA42" s="391"/>
      <c r="AF42" s="391"/>
      <c r="AK42" s="391"/>
      <c r="AP42" s="391"/>
      <c r="AS42" s="11"/>
      <c r="AT42" s="8"/>
      <c r="AU42" s="1"/>
      <c r="AV42" s="1"/>
      <c r="AX42" s="391"/>
      <c r="BB42" s="391"/>
      <c r="BI42" s="391"/>
      <c r="BJ42" s="391"/>
      <c r="BN42" s="391"/>
      <c r="BS42" s="391"/>
      <c r="BX42" s="391"/>
      <c r="CA42" s="391"/>
      <c r="CB42" s="391"/>
      <c r="CF42" s="391"/>
      <c r="CI42" s="391"/>
      <c r="CL42" s="391"/>
      <c r="CO42" s="391"/>
      <c r="CQ42" s="391"/>
      <c r="CR42" s="391"/>
      <c r="CS42" s="391"/>
      <c r="CV42" s="391"/>
      <c r="CY42" s="391"/>
      <c r="CZ42" s="391"/>
      <c r="DA42" s="391"/>
      <c r="DB42" s="391"/>
      <c r="DC42" s="391"/>
      <c r="DD42" s="391"/>
      <c r="DE42" s="391"/>
      <c r="DF42" s="391"/>
      <c r="DG42" s="391"/>
      <c r="DH42" s="391"/>
      <c r="DI42" s="391"/>
      <c r="DJ42" s="391"/>
      <c r="DK42" s="391"/>
      <c r="DL42" s="391"/>
      <c r="DM42" s="391"/>
      <c r="DN42" s="391"/>
      <c r="DO42" s="391"/>
      <c r="DP42" s="391"/>
      <c r="DQ42" s="391"/>
      <c r="DR42" s="391"/>
      <c r="DS42" s="391"/>
      <c r="DW42" s="391"/>
      <c r="DX42" s="391"/>
      <c r="EM42" s="391"/>
      <c r="EN42" s="391"/>
      <c r="ET42" s="391"/>
      <c r="EU42" s="391"/>
      <c r="EV42" s="391"/>
      <c r="EW42" s="391"/>
      <c r="EX42" s="391"/>
      <c r="FA42" s="391"/>
      <c r="FB42" s="391"/>
      <c r="FC42" s="391"/>
      <c r="FD42" s="391"/>
      <c r="FE42" s="391"/>
      <c r="FF42" s="391"/>
      <c r="FG42" s="391"/>
      <c r="FH42" s="391"/>
      <c r="FI42" s="391"/>
      <c r="FJ42" s="391"/>
      <c r="FK42" s="391"/>
      <c r="FL42" s="391"/>
      <c r="FM42" s="391"/>
      <c r="FN42" s="391"/>
      <c r="FO42" s="391"/>
      <c r="FP42" s="391"/>
      <c r="FQ42" s="391"/>
      <c r="FR42" s="391"/>
      <c r="FS42" s="391"/>
      <c r="FU42" s="391"/>
      <c r="GU42" s="391"/>
      <c r="GV42" s="391"/>
      <c r="GW42" s="391"/>
    </row>
    <row r="43" spans="6:205" x14ac:dyDescent="0.2">
      <c r="F43" s="391"/>
      <c r="L43" s="391"/>
      <c r="Q43" s="391"/>
      <c r="V43" s="391"/>
      <c r="AA43" s="391"/>
      <c r="AF43" s="391"/>
      <c r="AK43" s="391"/>
      <c r="AP43" s="391"/>
      <c r="AS43" s="11"/>
      <c r="AT43" s="8"/>
      <c r="AU43" s="1"/>
      <c r="AV43" s="1"/>
      <c r="AX43" s="391"/>
      <c r="BB43" s="391"/>
      <c r="BI43" s="391"/>
      <c r="BJ43" s="391"/>
      <c r="BN43" s="391"/>
      <c r="BS43" s="391"/>
      <c r="BX43" s="391"/>
      <c r="CA43" s="391"/>
      <c r="CB43" s="391"/>
      <c r="CF43" s="391"/>
      <c r="CI43" s="391"/>
      <c r="CL43" s="391"/>
      <c r="CO43" s="391"/>
      <c r="CQ43" s="391"/>
      <c r="CR43" s="391"/>
      <c r="CS43" s="391"/>
      <c r="CV43" s="391"/>
      <c r="CY43" s="391"/>
      <c r="CZ43" s="391"/>
      <c r="DA43" s="391"/>
      <c r="DB43" s="391"/>
      <c r="DC43" s="391"/>
      <c r="DD43" s="391"/>
      <c r="DE43" s="391"/>
      <c r="DF43" s="391"/>
      <c r="DG43" s="391"/>
      <c r="DH43" s="391"/>
      <c r="DI43" s="391"/>
      <c r="DJ43" s="391"/>
      <c r="DK43" s="391"/>
      <c r="DL43" s="391"/>
      <c r="DM43" s="391"/>
      <c r="DN43" s="391"/>
      <c r="DO43" s="391"/>
      <c r="DP43" s="391"/>
      <c r="DQ43" s="391"/>
      <c r="DR43" s="391"/>
      <c r="DS43" s="391"/>
      <c r="DW43" s="391"/>
      <c r="DX43" s="391"/>
      <c r="EM43" s="391"/>
      <c r="EN43" s="391"/>
      <c r="ET43" s="391"/>
      <c r="EU43" s="391"/>
      <c r="EV43" s="391"/>
      <c r="EW43" s="391"/>
      <c r="EX43" s="391"/>
      <c r="FA43" s="391"/>
      <c r="FB43" s="391"/>
      <c r="FC43" s="391"/>
      <c r="FD43" s="391"/>
      <c r="FE43" s="391"/>
      <c r="FF43" s="391"/>
      <c r="FG43" s="391"/>
      <c r="FH43" s="391"/>
      <c r="FI43" s="391"/>
      <c r="FJ43" s="391"/>
      <c r="FK43" s="391"/>
      <c r="FL43" s="391"/>
      <c r="FM43" s="391"/>
      <c r="FN43" s="391"/>
      <c r="FO43" s="391"/>
      <c r="FP43" s="391"/>
      <c r="FQ43" s="391"/>
      <c r="FR43" s="391"/>
      <c r="FS43" s="391"/>
      <c r="FU43" s="391"/>
      <c r="GU43" s="391"/>
      <c r="GV43" s="391"/>
      <c r="GW43" s="391"/>
    </row>
    <row r="44" spans="6:205" x14ac:dyDescent="0.2">
      <c r="F44" s="391"/>
      <c r="L44" s="391"/>
      <c r="Q44" s="391"/>
      <c r="V44" s="391"/>
      <c r="AA44" s="391"/>
      <c r="AF44" s="391"/>
      <c r="AK44" s="391"/>
      <c r="AP44" s="391"/>
      <c r="AS44" s="11"/>
      <c r="AT44" s="8"/>
      <c r="AU44" s="1"/>
      <c r="AV44" s="1"/>
      <c r="AX44" s="391"/>
      <c r="BB44" s="391"/>
      <c r="BI44" s="391"/>
      <c r="BJ44" s="391"/>
      <c r="BN44" s="391"/>
      <c r="BS44" s="391"/>
      <c r="BX44" s="391"/>
      <c r="CA44" s="391"/>
      <c r="CB44" s="391"/>
      <c r="CF44" s="391"/>
      <c r="CI44" s="391"/>
      <c r="CL44" s="391"/>
      <c r="CO44" s="391"/>
      <c r="CQ44" s="391"/>
      <c r="CR44" s="391"/>
      <c r="CS44" s="391"/>
      <c r="CV44" s="391"/>
      <c r="CY44" s="391"/>
      <c r="CZ44" s="391"/>
      <c r="DA44" s="391"/>
      <c r="DB44" s="391"/>
      <c r="DC44" s="391"/>
      <c r="DD44" s="391"/>
      <c r="DE44" s="391"/>
      <c r="DF44" s="391"/>
      <c r="DG44" s="391"/>
      <c r="DH44" s="391"/>
      <c r="DI44" s="391"/>
      <c r="DJ44" s="391"/>
      <c r="DK44" s="391"/>
      <c r="DL44" s="391"/>
      <c r="DM44" s="391"/>
      <c r="DN44" s="391"/>
      <c r="DO44" s="391"/>
      <c r="DP44" s="391"/>
      <c r="DQ44" s="391"/>
      <c r="DR44" s="391"/>
      <c r="DS44" s="391"/>
      <c r="DW44" s="391"/>
      <c r="DX44" s="391"/>
      <c r="EM44" s="391"/>
      <c r="EN44" s="391"/>
      <c r="ET44" s="391"/>
      <c r="EU44" s="391"/>
      <c r="EV44" s="391"/>
      <c r="EW44" s="391"/>
      <c r="EX44" s="391"/>
      <c r="FA44" s="391"/>
      <c r="FB44" s="391"/>
      <c r="FC44" s="391"/>
      <c r="FD44" s="391"/>
      <c r="FE44" s="391"/>
      <c r="FF44" s="391"/>
      <c r="FG44" s="391"/>
      <c r="FH44" s="391"/>
      <c r="FI44" s="391"/>
      <c r="FJ44" s="391"/>
      <c r="FK44" s="391"/>
      <c r="FL44" s="391"/>
      <c r="FM44" s="391"/>
      <c r="FN44" s="391"/>
      <c r="FO44" s="391"/>
      <c r="FP44" s="391"/>
      <c r="FQ44" s="391"/>
      <c r="FR44" s="391"/>
      <c r="FS44" s="391"/>
      <c r="FU44" s="391"/>
      <c r="GU44" s="391"/>
      <c r="GV44" s="391"/>
      <c r="GW44" s="391"/>
    </row>
    <row r="45" spans="6:205" x14ac:dyDescent="0.2">
      <c r="F45" s="391"/>
      <c r="L45" s="391"/>
      <c r="Q45" s="391"/>
      <c r="V45" s="391"/>
      <c r="AA45" s="391"/>
      <c r="AF45" s="391"/>
      <c r="AK45" s="391"/>
      <c r="AP45" s="391"/>
      <c r="AS45" s="11"/>
      <c r="AT45" s="8"/>
      <c r="AU45" s="1"/>
      <c r="AV45" s="1"/>
      <c r="AX45" s="391"/>
      <c r="BB45" s="391"/>
      <c r="BI45" s="391"/>
      <c r="BJ45" s="391"/>
      <c r="BN45" s="391"/>
      <c r="BS45" s="391"/>
      <c r="BX45" s="391"/>
      <c r="CA45" s="391"/>
      <c r="CB45" s="391"/>
      <c r="CF45" s="391"/>
      <c r="CI45" s="391"/>
      <c r="CL45" s="391"/>
      <c r="CO45" s="391"/>
      <c r="CQ45" s="391"/>
      <c r="CR45" s="391"/>
      <c r="CS45" s="391"/>
      <c r="CV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W45" s="391"/>
      <c r="DX45" s="391"/>
      <c r="EM45" s="391"/>
      <c r="EN45" s="391"/>
      <c r="ET45" s="391"/>
      <c r="EU45" s="391"/>
      <c r="EV45" s="391"/>
      <c r="EW45" s="391"/>
      <c r="EX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U45" s="391"/>
      <c r="GU45" s="391"/>
      <c r="GV45" s="391"/>
      <c r="GW45" s="391"/>
    </row>
  </sheetData>
  <mergeCells count="89">
    <mergeCell ref="GF4:GJ4"/>
    <mergeCell ref="GK4:GN4"/>
    <mergeCell ref="GO4:GR4"/>
    <mergeCell ref="BK26:BN26"/>
    <mergeCell ref="AH28:AK28"/>
    <mergeCell ref="FG4:FI4"/>
    <mergeCell ref="FJ4:FL4"/>
    <mergeCell ref="FM4:FO4"/>
    <mergeCell ref="FP4:FR4"/>
    <mergeCell ref="FV4:FZ4"/>
    <mergeCell ref="GA4:GE4"/>
    <mergeCell ref="EI4:EK4"/>
    <mergeCell ref="EL4:EN4"/>
    <mergeCell ref="EO4:ES4"/>
    <mergeCell ref="ET4:EX4"/>
    <mergeCell ref="EY4:FB4"/>
    <mergeCell ref="FC4:FF4"/>
    <mergeCell ref="DF4:DK4"/>
    <mergeCell ref="DL4:DP4"/>
    <mergeCell ref="DT4:DX4"/>
    <mergeCell ref="DY4:EA4"/>
    <mergeCell ref="EB4:EE4"/>
    <mergeCell ref="EF4:EH4"/>
    <mergeCell ref="CH4:CJ4"/>
    <mergeCell ref="CK4:CM4"/>
    <mergeCell ref="CN4:CP4"/>
    <mergeCell ref="CT4:CW4"/>
    <mergeCell ref="CX4:CZ4"/>
    <mergeCell ref="DA4:DE4"/>
    <mergeCell ref="AZ4:BC4"/>
    <mergeCell ref="BD4:BJ4"/>
    <mergeCell ref="BK4:BO4"/>
    <mergeCell ref="BP4:BT4"/>
    <mergeCell ref="BU4:BY4"/>
    <mergeCell ref="CC4:CG4"/>
    <mergeCell ref="GS3:GU3"/>
    <mergeCell ref="C4:G4"/>
    <mergeCell ref="H4:M4"/>
    <mergeCell ref="N4:R4"/>
    <mergeCell ref="S4:W4"/>
    <mergeCell ref="X4:AB4"/>
    <mergeCell ref="AC4:AG4"/>
    <mergeCell ref="AH4:AL4"/>
    <mergeCell ref="AM4:AQ4"/>
    <mergeCell ref="AU4:AY4"/>
    <mergeCell ref="GA2:GE2"/>
    <mergeCell ref="GF2:GJ2"/>
    <mergeCell ref="GK2:GR2"/>
    <mergeCell ref="GS2:GU2"/>
    <mergeCell ref="C3:AT3"/>
    <mergeCell ref="AU3:CB3"/>
    <mergeCell ref="CC3:CP3"/>
    <mergeCell ref="CT3:DS3"/>
    <mergeCell ref="DT3:FU3"/>
    <mergeCell ref="FV3:GQ3"/>
    <mergeCell ref="ET2:EX2"/>
    <mergeCell ref="EY2:FF2"/>
    <mergeCell ref="FG2:FL2"/>
    <mergeCell ref="FM2:FR2"/>
    <mergeCell ref="FS2:FU2"/>
    <mergeCell ref="FV2:FZ2"/>
    <mergeCell ref="DY2:EA2"/>
    <mergeCell ref="EB2:EE2"/>
    <mergeCell ref="EF2:EH2"/>
    <mergeCell ref="EI2:EK2"/>
    <mergeCell ref="EL2:EN2"/>
    <mergeCell ref="EO2:ES2"/>
    <mergeCell ref="BZ2:CB2"/>
    <mergeCell ref="CE2:CP2"/>
    <mergeCell ref="CT2:CW2"/>
    <mergeCell ref="CX2:DP2"/>
    <mergeCell ref="DQ2:DS2"/>
    <mergeCell ref="DT2:DX2"/>
    <mergeCell ref="AM2:AQ2"/>
    <mergeCell ref="AR2:AT2"/>
    <mergeCell ref="AU2:AY2"/>
    <mergeCell ref="AZ2:BC2"/>
    <mergeCell ref="BD2:BJ2"/>
    <mergeCell ref="BK2:BY2"/>
    <mergeCell ref="C1:T1"/>
    <mergeCell ref="CT1:CW1"/>
    <mergeCell ref="DA1:DD1"/>
    <mergeCell ref="C2:G2"/>
    <mergeCell ref="H2:M2"/>
    <mergeCell ref="N2:R2"/>
    <mergeCell ref="S2:W2"/>
    <mergeCell ref="X2:AB2"/>
    <mergeCell ref="AC2:AG2"/>
    <mergeCell ref="AH2:A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2021-07-28T05:15:31Z</dcterms:modified>
</cp:coreProperties>
</file>